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Inputs" sheetId="2" state="visible" r:id="rId4"/>
    <sheet name="Roster" sheetId="3" state="visible" r:id="rId5"/>
    <sheet name="Coverage" sheetId="4" state="visible" r:id="rId6"/>
    <sheet name="Calc"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<sst xmlns="http://schemas.openxmlformats.org/spreadsheetml/2006/main" count="122" uniqueCount="104">
  <si>
    <t xml:space="preserve">How this planner works</t>
  </si>
  <si>
    <t xml:space="preserve">1. Go to Inputs. Enter the number of agents, shift length (default 8.5), working days in a row (default 5, so 2 consecutive weekly offs) and the minimum agents needed.</t>
  </si>
  <si>
    <t xml:space="preserve">2. Enter Open and Close times for each day. Leave both blank for a closed day.</t>
  </si>
  <si>
    <t xml:space="preserve">3. Open Roster for the shifts and Coverage for the half-hour check. Roster row 2 tells you if there are gaps.</t>
  </si>
  <si>
    <t xml:space="preserve">4. Week-offs: agents are spread across the 7 possible consecutive off pairs, starting with Sat-Sun for agent 1, Sun-Mon for agent 2, and so on.</t>
  </si>
  <si>
    <t xml:space="preserve">5. Shifts: on each day the agents on duty get start times spread evenly from Open to the latest possible start (Close minus shift length), so the first agent opens and the last agent closes. Windows can run past midnight or be 24 hours; a shift ending next day shows (+1).</t>
  </si>
  <si>
    <t xml:space="preserve">6. Manual control: on Inputs, pick a Week-off start day or a Fixed shift (Open or Close) for any agent. Names are optional. The first row has an example (Asha, off from Sat, Open shift). Clear it or replace it.</t>
  </si>
  <si>
    <t xml:space="preserve">Limits: up to 100 agents, 7 day week, one operating window per day (up to 24 hours). A day belongs to the day it opens. If a window is shorter than the shift length, the shift is cut to the window.</t>
  </si>
  <si>
    <t xml:space="preserve">If the agents on duty cannot cover the window (for example a 24 hour window needs at least 3 per day at 8.5 hours), the Coverage tab shows gaps. Add agents or raise the shift length.</t>
  </si>
  <si>
    <t xml:space="preserve">Shift length includes the break. Lunch and breaks are not scheduled here.</t>
  </si>
  <si>
    <t xml:space="preserve">Shift Planner: Inputs</t>
  </si>
  <si>
    <t xml:space="preserve">Edit the blue cells with yellow fill. Everything else is calculated.</t>
  </si>
  <si>
    <t xml:space="preserve">Number of agents (max 100)</t>
  </si>
  <si>
    <t xml:space="preserve">Shift length (hours, includes break)</t>
  </si>
  <si>
    <t xml:space="preserve">Working days in a row</t>
  </si>
  <si>
    <t xml:space="preserve">Consecutive weekly offs (calculated)</t>
  </si>
  <si>
    <t xml:space="preserve">Minimum agents needed at any time</t>
  </si>
  <si>
    <t xml:space="preserve">Suggested number of agents (estimate)</t>
  </si>
  <si>
    <t xml:space="preserve">Smallest team that can cover every day with your minimum. Use it as a starting point.</t>
  </si>
  <si>
    <t xml:space="preserve">Operating hours (leave Open and Close blank for a closed day; Close earlier than Open means it runs past midnight; same time for both means 24 hours)</t>
  </si>
  <si>
    <t xml:space="preserve">Day</t>
  </si>
  <si>
    <t xml:space="preserve">Open</t>
  </si>
  <si>
    <t xml:space="preserve">Close</t>
  </si>
  <si>
    <t xml:space="preserve">Window (hrs)</t>
  </si>
  <si>
    <t xml:space="preserve">Shift hrs used</t>
  </si>
  <si>
    <t xml:space="preserve">Check</t>
  </si>
  <si>
    <t xml:space="preserve">Agents needed on duty</t>
  </si>
  <si>
    <t xml:space="preserve">Mon</t>
  </si>
  <si>
    <t xml:space="preserve">Tue</t>
  </si>
  <si>
    <t xml:space="preserve">Wed</t>
  </si>
  <si>
    <t xml:space="preserve">Thu</t>
  </si>
  <si>
    <t xml:space="preserve">Fri</t>
  </si>
  <si>
    <t xml:space="preserve">Sat</t>
  </si>
  <si>
    <t xml:space="preserve">Sun</t>
  </si>
  <si>
    <t xml:space="preserve">Agent list (optional). Leave blank to auto-distribute.</t>
  </si>
  <si>
    <t xml:space="preserve">Name: any text. Week-off start: pick a day, the offs run consecutively from that day. Fixed shift: Open starts at opening time, Close ends at closing time.</t>
  </si>
  <si>
    <t xml:space="preserve">#</t>
  </si>
  <si>
    <t xml:space="preserve">Name (optional)</t>
  </si>
  <si>
    <t xml:space="preserve">Week-off start day</t>
  </si>
  <si>
    <t xml:space="preserve">Fixed shift (Open/Close)</t>
  </si>
  <si>
    <t xml:space="preserve">Asha (example)</t>
  </si>
  <si>
    <t xml:space="preserve">Weekly Shift Roster</t>
  </si>
  <si>
    <t xml:space="preserve">Agents on duty</t>
  </si>
  <si>
    <t xml:space="preserve">Needed on duty</t>
  </si>
  <si>
    <t xml:space="preserve">Agent</t>
  </si>
  <si>
    <t xml:space="preserve">Weekly hrs</t>
  </si>
  <si>
    <t xml:space="preserve">Days worked</t>
  </si>
  <si>
    <t xml:space="preserve">Week-off</t>
  </si>
  <si>
    <t xml:space="preserve">Coverage by Half Hour (calendar clock, agents on shift, shown only inside operating hours)</t>
  </si>
  <si>
    <t xml:space="preserve">Red = below the minimum set on Inputs, light green = exactly the minimum, dark green = above.</t>
  </si>
  <si>
    <t xml:space="preserve">Slot</t>
  </si>
  <si>
    <t xml:space="preserve">next-day helper</t>
  </si>
  <si>
    <t xml:space="preserve">Peak</t>
  </si>
  <si>
    <t xml:space="preserve">Lowest</t>
  </si>
  <si>
    <t xml:space="preserve">Gaps</t>
  </si>
  <si>
    <t xml:space="preserve">Gaps = half-hour slots inside operating hours with fewer agents than the minimum. 0 means fully covered.</t>
  </si>
  <si>
    <t xml:space="preserve">Engine (do not edit). Row 1: open, row 2: close, row 3: shift hours per day.</t>
  </si>
  <si>
    <t xml:space="preserve">Active</t>
  </si>
  <si>
    <t xml:space="preserve">Auto off start</t>
  </si>
  <si>
    <t xml:space="preserve">Off start</t>
  </si>
  <si>
    <t xml:space="preserve">(space)</t>
  </si>
  <si>
    <t xml:space="preserve">Duty Mon</t>
  </si>
  <si>
    <t xml:space="preserve">Duty Tue</t>
  </si>
  <si>
    <t xml:space="preserve">Duty Wed</t>
  </si>
  <si>
    <t xml:space="preserve">Duty Thu</t>
  </si>
  <si>
    <t xml:space="preserve">Duty Fri</t>
  </si>
  <si>
    <t xml:space="preserve">Duty Sat</t>
  </si>
  <si>
    <t xml:space="preserve">Duty Sun</t>
  </si>
  <si>
    <t xml:space="preserve">Rank Mon</t>
  </si>
  <si>
    <t xml:space="preserve">Rank Tue</t>
  </si>
  <si>
    <t xml:space="preserve">Rank Wed</t>
  </si>
  <si>
    <t xml:space="preserve">Rank Thu</t>
  </si>
  <si>
    <t xml:space="preserve">Rank Fri</t>
  </si>
  <si>
    <t xml:space="preserve">Rank Sat</t>
  </si>
  <si>
    <t xml:space="preserve">Rank Sun</t>
  </si>
  <si>
    <t xml:space="preserve">Start Mon</t>
  </si>
  <si>
    <t xml:space="preserve">Start Tue</t>
  </si>
  <si>
    <t xml:space="preserve">Start Wed</t>
  </si>
  <si>
    <t xml:space="preserve">Start Thu</t>
  </si>
  <si>
    <t xml:space="preserve">Start Fri</t>
  </si>
  <si>
    <t xml:space="preserve">Start Sat</t>
  </si>
  <si>
    <t xml:space="preserve">Start Sun</t>
  </si>
  <si>
    <t xml:space="preserve">End Mon</t>
  </si>
  <si>
    <t xml:space="preserve">End Tue</t>
  </si>
  <si>
    <t xml:space="preserve">End Wed</t>
  </si>
  <si>
    <t xml:space="preserve">End Thu</t>
  </si>
  <si>
    <t xml:space="preserve">End Fri</t>
  </si>
  <si>
    <t xml:space="preserve">End Sat</t>
  </si>
  <si>
    <t xml:space="preserve">End Sun</t>
  </si>
  <si>
    <t xml:space="preserve">Cost off-start Mon</t>
  </si>
  <si>
    <t xml:space="preserve">Cost off-start Tue</t>
  </si>
  <si>
    <t xml:space="preserve">Cost off-start Wed</t>
  </si>
  <si>
    <t xml:space="preserve">Cost off-start Thu</t>
  </si>
  <si>
    <t xml:space="preserve">Cost off-start Fri</t>
  </si>
  <si>
    <t xml:space="preserve">Cost off-start Sat</t>
  </si>
  <si>
    <t xml:space="preserve">Cost off-start Sun</t>
  </si>
  <si>
    <t xml:space="preserve">Offs so far Mon</t>
  </si>
  <si>
    <t xml:space="preserve">Offs so far Tue</t>
  </si>
  <si>
    <t xml:space="preserve">Offs so far Wed</t>
  </si>
  <si>
    <t xml:space="preserve">Offs so far Thu</t>
  </si>
  <si>
    <t xml:space="preserve">Offs so far Fri</t>
  </si>
  <si>
    <t xml:space="preserve">Offs so far Sat</t>
  </si>
  <si>
    <t xml:space="preserve">Offs so far Sun</t>
  </si>
  <si>
    <t xml:space="preserve">zero row for running counts</t>
  </si>
</sst>
</file>

<file path=xl/styles.xml><?xml version="1.0" encoding="utf-8"?>
<styleSheet xmlns="http://schemas.openxmlformats.org/spreadsheetml/2006/main">
  <numFmts count="7">
    <numFmt numFmtId="164" formatCode="General"/>
    <numFmt numFmtId="165" formatCode="0"/>
    <numFmt numFmtId="166" formatCode="0.0"/>
    <numFmt numFmtId="167" formatCode="General"/>
    <numFmt numFmtId="168" formatCode="h:mm\ AM/PM"/>
    <numFmt numFmtId="169" formatCode="h:mm"/>
    <numFmt numFmtId="170" formatCode="0.0000"/>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sz val="10"/>
      <color rgb="FF0000FF"/>
      <name val="Arial"/>
      <family val="0"/>
      <charset val="1"/>
    </font>
    <font>
      <b val="true"/>
      <sz val="10"/>
      <name val="Arial"/>
      <family val="0"/>
      <charset val="1"/>
    </font>
    <font>
      <b val="true"/>
      <sz val="10"/>
      <color rgb="FFFFFFFF"/>
      <name val="Arial"/>
      <family val="0"/>
      <charset val="1"/>
    </font>
    <font>
      <sz val="8"/>
      <color rgb="FF808080"/>
      <name val="Arial"/>
      <family val="0"/>
      <charset val="1"/>
    </font>
  </fonts>
  <fills count="4">
    <fill>
      <patternFill patternType="none"/>
    </fill>
    <fill>
      <patternFill patternType="gray125"/>
    </fill>
    <fill>
      <patternFill patternType="solid">
        <fgColor rgb="FFFFF2CC"/>
        <bgColor rgb="FFE2EFDA"/>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6" fillId="2" borderId="1" xfId="0" applyFont="true" applyBorder="true" applyAlignment="true" applyProtection="false">
      <alignment horizontal="center" vertical="center" textRotation="0" wrapText="true" indent="0" shrinkToFit="false"/>
      <protection locked="true" hidden="false"/>
    </xf>
    <xf numFmtId="166" fontId="6" fillId="2" borderId="1" xfId="0" applyFont="true" applyBorder="true" applyAlignment="true" applyProtection="false">
      <alignment horizontal="center" vertical="center" textRotation="0" wrapText="true" indent="0" shrinkToFit="false"/>
      <protection locked="true" hidden="false"/>
    </xf>
    <xf numFmtId="167" fontId="5" fillId="0" borderId="1"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8" fontId="6" fillId="2" borderId="1" xfId="0" applyFont="true" applyBorder="true" applyAlignment="true" applyProtection="false">
      <alignment horizontal="center" vertical="center" textRotation="0" wrapText="true" indent="0" shrinkToFit="false"/>
      <protection locked="true" hidden="false"/>
    </xf>
    <xf numFmtId="166"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8" fontId="5" fillId="0" borderId="1" xfId="0" applyFont="true" applyBorder="true" applyAlignment="true" applyProtection="false">
      <alignment horizontal="center" vertical="center" textRotation="0" wrapText="true" indent="0" shrinkToFit="false"/>
      <protection locked="true" hidden="false"/>
    </xf>
    <xf numFmtId="167" fontId="7" fillId="0" borderId="1" xfId="0" applyFont="true" applyBorder="true" applyAlignment="true" applyProtection="false">
      <alignment horizontal="center" vertical="center" textRotation="0" wrapText="tru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D9D9D9"/>
        </patternFill>
      </fill>
    </dxf>
    <dxf>
      <fill>
        <patternFill>
          <bgColor rgb="FFF8CBAD"/>
        </patternFill>
      </fill>
    </dxf>
    <dxf>
      <fill>
        <patternFill>
          <bgColor rgb="FFE2EFDA"/>
        </patternFill>
      </fill>
    </dxf>
    <dxf>
      <fill>
        <patternFill>
          <bgColor rgb="FFA9D08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A9D08E"/>
      <rgbColor rgb="FFFF99CC"/>
      <rgbColor rgb="FFCC99FF"/>
      <rgbColor rgb="FFF8CBAD"/>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3" customFormat="false" ht="23.8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15" hidden="false" customHeight="false" outlineLevel="0" collapsed="false">
      <c r="A6" s="2" t="s">
        <v>4</v>
      </c>
    </row>
    <row r="7" customFormat="false" ht="23.85" hidden="false" customHeight="false" outlineLevel="0" collapsed="false">
      <c r="A7" s="2" t="s">
        <v>5</v>
      </c>
    </row>
    <row r="8" customFormat="false" ht="23.85" hidden="false" customHeight="false" outlineLevel="0" collapsed="false">
      <c r="A8" s="2" t="s">
        <v>6</v>
      </c>
    </row>
    <row r="9" customFormat="false" ht="23.85" hidden="false" customHeight="false" outlineLevel="0" collapsed="false">
      <c r="A9" s="2" t="s">
        <v>7</v>
      </c>
    </row>
    <row r="10" customFormat="false" ht="23.85" hidden="false" customHeight="false" outlineLevel="0" collapsed="false">
      <c r="A10" s="2" t="s">
        <v>8</v>
      </c>
    </row>
    <row r="11" customFormat="false" ht="15" hidden="false" customHeight="false" outlineLevel="0" collapsed="false">
      <c r="A11" s="2"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20"/>
    <col collapsed="false" customWidth="true" hidden="false" outlineLevel="0" max="4" min="4" style="0" width="22"/>
    <col collapsed="false" customWidth="true" hidden="false" outlineLevel="0" max="5" min="5" style="0" width="16"/>
    <col collapsed="false" customWidth="true" hidden="false" outlineLevel="0" max="6" min="6" style="0" width="44"/>
    <col collapsed="false" customWidth="true" hidden="false" outlineLevel="0" max="7" min="7" style="0" width="22"/>
  </cols>
  <sheetData>
    <row r="1" customFormat="false" ht="17.35" hidden="false" customHeight="false" outlineLevel="0" collapsed="false">
      <c r="A1" s="1" t="s">
        <v>10</v>
      </c>
    </row>
    <row r="2" customFormat="false" ht="15" hidden="false" customHeight="false" outlineLevel="0" collapsed="false">
      <c r="A2" s="3" t="s">
        <v>11</v>
      </c>
    </row>
    <row r="3" customFormat="false" ht="15" hidden="false" customHeight="false" outlineLevel="0" collapsed="false">
      <c r="A3" s="3" t="s">
        <v>12</v>
      </c>
      <c r="B3" s="4" t="n">
        <v>10</v>
      </c>
    </row>
    <row r="4" customFormat="false" ht="15" hidden="false" customHeight="false" outlineLevel="0" collapsed="false">
      <c r="A4" s="3" t="s">
        <v>13</v>
      </c>
      <c r="B4" s="5" t="n">
        <v>8.5</v>
      </c>
    </row>
    <row r="5" customFormat="false" ht="15" hidden="false" customHeight="false" outlineLevel="0" collapsed="false">
      <c r="A5" s="3" t="s">
        <v>14</v>
      </c>
      <c r="B5" s="4" t="n">
        <v>5</v>
      </c>
    </row>
    <row r="6" customFormat="false" ht="15" hidden="false" customHeight="false" outlineLevel="0" collapsed="false">
      <c r="A6" s="3" t="s">
        <v>15</v>
      </c>
      <c r="B6" s="6" t="n">
        <f aca="false">7-B5</f>
        <v>2</v>
      </c>
    </row>
    <row r="7" customFormat="false" ht="15" hidden="false" customHeight="false" outlineLevel="0" collapsed="false">
      <c r="A7" s="3" t="s">
        <v>16</v>
      </c>
      <c r="B7" s="7" t="n">
        <v>1</v>
      </c>
    </row>
    <row r="8" customFormat="false" ht="15" hidden="false" customHeight="false" outlineLevel="0" collapsed="false">
      <c r="A8" s="8" t="s">
        <v>17</v>
      </c>
      <c r="B8" s="9" t="n">
        <f aca="false">IF(B5=0,0,MAX(ROUNDUP(SUM(G11:G17)/B5,0),MAX(G11:G17)))</f>
        <v>3</v>
      </c>
      <c r="C8" s="3" t="s">
        <v>18</v>
      </c>
    </row>
    <row r="9" customFormat="false" ht="15" hidden="false" customHeight="false" outlineLevel="0" collapsed="false">
      <c r="A9" s="8" t="s">
        <v>19</v>
      </c>
    </row>
    <row r="10" customFormat="false" ht="15" hidden="false" customHeight="false" outlineLevel="0" collapsed="false">
      <c r="A10" s="10" t="s">
        <v>20</v>
      </c>
      <c r="B10" s="10" t="s">
        <v>21</v>
      </c>
      <c r="C10" s="10" t="s">
        <v>22</v>
      </c>
      <c r="D10" s="10" t="s">
        <v>23</v>
      </c>
      <c r="E10" s="10" t="s">
        <v>24</v>
      </c>
      <c r="F10" s="10" t="s">
        <v>25</v>
      </c>
      <c r="G10" s="10" t="s">
        <v>26</v>
      </c>
    </row>
    <row r="11" customFormat="false" ht="15" hidden="false" customHeight="false" outlineLevel="0" collapsed="false">
      <c r="A11" s="9" t="s">
        <v>27</v>
      </c>
      <c r="B11" s="11" t="n">
        <v>0.25</v>
      </c>
      <c r="C11" s="11" t="n">
        <v>0.770833333333333</v>
      </c>
      <c r="D11" s="12" t="n">
        <f aca="false">IF(OR(B11="",C11=""),0,(ROUND(C11*1440,0)-ROUND(B11*1440,0)+IF(ROUND(C11*1440,0)&lt;=ROUND(B11*1440,0),1440,0))/60)</f>
        <v>12.5</v>
      </c>
      <c r="E11" s="12" t="n">
        <f aca="false">IF(D11=0,0,MIN($B$4,D11))</f>
        <v>8.5</v>
      </c>
      <c r="F11" s="6" t="str">
        <f aca="false">IF(D11=0,"",IF(ROUND(C11*1440,0)=ROUND(B11*1440,0),"24 hours",IF(C11&lt;B11,"Runs past midnight into next day","")))</f>
        <v/>
      </c>
      <c r="G11" s="6" t="n">
        <f aca="false">IF(D11=0,0,$B$7*ROUNDUP(ROUND(D11/$B$4,6),0))</f>
        <v>2</v>
      </c>
    </row>
    <row r="12" customFormat="false" ht="15" hidden="false" customHeight="false" outlineLevel="0" collapsed="false">
      <c r="A12" s="9" t="s">
        <v>28</v>
      </c>
      <c r="B12" s="11" t="n">
        <v>0.25</v>
      </c>
      <c r="C12" s="11" t="n">
        <v>0.770833333333333</v>
      </c>
      <c r="D12" s="12" t="n">
        <f aca="false">IF(OR(B12="",C12=""),0,(ROUND(C12*1440,0)-ROUND(B12*1440,0)+IF(ROUND(C12*1440,0)&lt;=ROUND(B12*1440,0),1440,0))/60)</f>
        <v>12.5</v>
      </c>
      <c r="E12" s="12" t="n">
        <f aca="false">IF(D12=0,0,MIN($B$4,D12))</f>
        <v>8.5</v>
      </c>
      <c r="F12" s="6" t="str">
        <f aca="false">IF(D12=0,"",IF(ROUND(C12*1440,0)=ROUND(B12*1440,0),"24 hours",IF(C12&lt;B12,"Runs past midnight into next day","")))</f>
        <v/>
      </c>
      <c r="G12" s="6" t="n">
        <f aca="false">IF(D12=0,0,$B$7*ROUNDUP(ROUND(D12/$B$4,6),0))</f>
        <v>2</v>
      </c>
    </row>
    <row r="13" customFormat="false" ht="15" hidden="false" customHeight="false" outlineLevel="0" collapsed="false">
      <c r="A13" s="9" t="s">
        <v>29</v>
      </c>
      <c r="B13" s="11" t="n">
        <v>0.25</v>
      </c>
      <c r="C13" s="11" t="n">
        <v>0.770833333333333</v>
      </c>
      <c r="D13" s="12" t="n">
        <f aca="false">IF(OR(B13="",C13=""),0,(ROUND(C13*1440,0)-ROUND(B13*1440,0)+IF(ROUND(C13*1440,0)&lt;=ROUND(B13*1440,0),1440,0))/60)</f>
        <v>12.5</v>
      </c>
      <c r="E13" s="12" t="n">
        <f aca="false">IF(D13=0,0,MIN($B$4,D13))</f>
        <v>8.5</v>
      </c>
      <c r="F13" s="6" t="str">
        <f aca="false">IF(D13=0,"",IF(ROUND(C13*1440,0)=ROUND(B13*1440,0),"24 hours",IF(C13&lt;B13,"Runs past midnight into next day","")))</f>
        <v/>
      </c>
      <c r="G13" s="6" t="n">
        <f aca="false">IF(D13=0,0,$B$7*ROUNDUP(ROUND(D13/$B$4,6),0))</f>
        <v>2</v>
      </c>
    </row>
    <row r="14" customFormat="false" ht="15" hidden="false" customHeight="false" outlineLevel="0" collapsed="false">
      <c r="A14" s="9" t="s">
        <v>30</v>
      </c>
      <c r="B14" s="11" t="n">
        <v>0.25</v>
      </c>
      <c r="C14" s="11" t="n">
        <v>0.770833333333333</v>
      </c>
      <c r="D14" s="12" t="n">
        <f aca="false">IF(OR(B14="",C14=""),0,(ROUND(C14*1440,0)-ROUND(B14*1440,0)+IF(ROUND(C14*1440,0)&lt;=ROUND(B14*1440,0),1440,0))/60)</f>
        <v>12.5</v>
      </c>
      <c r="E14" s="12" t="n">
        <f aca="false">IF(D14=0,0,MIN($B$4,D14))</f>
        <v>8.5</v>
      </c>
      <c r="F14" s="6" t="str">
        <f aca="false">IF(D14=0,"",IF(ROUND(C14*1440,0)=ROUND(B14*1440,0),"24 hours",IF(C14&lt;B14,"Runs past midnight into next day","")))</f>
        <v/>
      </c>
      <c r="G14" s="6" t="n">
        <f aca="false">IF(D14=0,0,$B$7*ROUNDUP(ROUND(D14/$B$4,6),0))</f>
        <v>2</v>
      </c>
    </row>
    <row r="15" customFormat="false" ht="15" hidden="false" customHeight="false" outlineLevel="0" collapsed="false">
      <c r="A15" s="9" t="s">
        <v>31</v>
      </c>
      <c r="B15" s="11" t="n">
        <v>0.25</v>
      </c>
      <c r="C15" s="11" t="n">
        <v>0.770833333333333</v>
      </c>
      <c r="D15" s="12" t="n">
        <f aca="false">IF(OR(B15="",C15=""),0,(ROUND(C15*1440,0)-ROUND(B15*1440,0)+IF(ROUND(C15*1440,0)&lt;=ROUND(B15*1440,0),1440,0))/60)</f>
        <v>12.5</v>
      </c>
      <c r="E15" s="12" t="n">
        <f aca="false">IF(D15=0,0,MIN($B$4,D15))</f>
        <v>8.5</v>
      </c>
      <c r="F15" s="6" t="str">
        <f aca="false">IF(D15=0,"",IF(ROUND(C15*1440,0)=ROUND(B15*1440,0),"24 hours",IF(C15&lt;B15,"Runs past midnight into next day","")))</f>
        <v/>
      </c>
      <c r="G15" s="6" t="n">
        <f aca="false">IF(D15=0,0,$B$7*ROUNDUP(ROUND(D15/$B$4,6),0))</f>
        <v>2</v>
      </c>
    </row>
    <row r="16" customFormat="false" ht="15" hidden="false" customHeight="false" outlineLevel="0" collapsed="false">
      <c r="A16" s="9" t="s">
        <v>32</v>
      </c>
      <c r="B16" s="11" t="n">
        <v>0.25</v>
      </c>
      <c r="C16" s="11" t="n">
        <v>0.770833333333333</v>
      </c>
      <c r="D16" s="12" t="n">
        <f aca="false">IF(OR(B16="",C16=""),0,(ROUND(C16*1440,0)-ROUND(B16*1440,0)+IF(ROUND(C16*1440,0)&lt;=ROUND(B16*1440,0),1440,0))/60)</f>
        <v>12.5</v>
      </c>
      <c r="E16" s="12" t="n">
        <f aca="false">IF(D16=0,0,MIN($B$4,D16))</f>
        <v>8.5</v>
      </c>
      <c r="F16" s="6" t="str">
        <f aca="false">IF(D16=0,"",IF(ROUND(C16*1440,0)=ROUND(B16*1440,0),"24 hours",IF(C16&lt;B16,"Runs past midnight into next day","")))</f>
        <v/>
      </c>
      <c r="G16" s="6" t="n">
        <f aca="false">IF(D16=0,0,$B$7*ROUNDUP(ROUND(D16/$B$4,6),0))</f>
        <v>2</v>
      </c>
    </row>
    <row r="17" customFormat="false" ht="15" hidden="false" customHeight="false" outlineLevel="0" collapsed="false">
      <c r="A17" s="9" t="s">
        <v>33</v>
      </c>
      <c r="B17" s="11" t="n">
        <v>0.25</v>
      </c>
      <c r="C17" s="11" t="n">
        <v>0.770833333333333</v>
      </c>
      <c r="D17" s="12" t="n">
        <f aca="false">IF(OR(B17="",C17=""),0,(ROUND(C17*1440,0)-ROUND(B17*1440,0)+IF(ROUND(C17*1440,0)&lt;=ROUND(B17*1440,0),1440,0))/60)</f>
        <v>12.5</v>
      </c>
      <c r="E17" s="12" t="n">
        <f aca="false">IF(D17=0,0,MIN($B$4,D17))</f>
        <v>8.5</v>
      </c>
      <c r="F17" s="6" t="str">
        <f aca="false">IF(D17=0,"",IF(ROUND(C17*1440,0)=ROUND(B17*1440,0),"24 hours",IF(C17&lt;B17,"Runs past midnight into next day","")))</f>
        <v/>
      </c>
      <c r="G17" s="6" t="n">
        <f aca="false">IF(D17=0,0,$B$7*ROUNDUP(ROUND(D17/$B$4,6),0))</f>
        <v>2</v>
      </c>
    </row>
    <row r="19" customFormat="false" ht="15" hidden="false" customHeight="false" outlineLevel="0" collapsed="false">
      <c r="A19" s="8" t="s">
        <v>34</v>
      </c>
    </row>
    <row r="20" customFormat="false" ht="15" hidden="false" customHeight="false" outlineLevel="0" collapsed="false">
      <c r="A20" s="3" t="s">
        <v>35</v>
      </c>
    </row>
    <row r="22" customFormat="false" ht="15" hidden="false" customHeight="false" outlineLevel="0" collapsed="false">
      <c r="A22" s="10" t="s">
        <v>36</v>
      </c>
      <c r="B22" s="10" t="s">
        <v>37</v>
      </c>
      <c r="C22" s="10" t="s">
        <v>38</v>
      </c>
      <c r="D22" s="10" t="s">
        <v>39</v>
      </c>
    </row>
    <row r="23" customFormat="false" ht="15" hidden="false" customHeight="false" outlineLevel="0" collapsed="false">
      <c r="A23" s="6" t="n">
        <v>1</v>
      </c>
      <c r="B23" s="7" t="s">
        <v>40</v>
      </c>
      <c r="C23" s="7" t="s">
        <v>32</v>
      </c>
      <c r="D23" s="7" t="s">
        <v>21</v>
      </c>
    </row>
    <row r="24" customFormat="false" ht="15" hidden="false" customHeight="false" outlineLevel="0" collapsed="false">
      <c r="A24" s="6" t="n">
        <v>2</v>
      </c>
      <c r="B24" s="7"/>
      <c r="C24" s="7"/>
      <c r="D24" s="7"/>
    </row>
    <row r="25" customFormat="false" ht="15" hidden="false" customHeight="false" outlineLevel="0" collapsed="false">
      <c r="A25" s="6" t="n">
        <v>3</v>
      </c>
      <c r="B25" s="7"/>
      <c r="C25" s="7"/>
      <c r="D25" s="7"/>
    </row>
    <row r="26" customFormat="false" ht="15" hidden="false" customHeight="false" outlineLevel="0" collapsed="false">
      <c r="A26" s="6" t="n">
        <v>4</v>
      </c>
      <c r="B26" s="7"/>
      <c r="C26" s="7"/>
      <c r="D26" s="7"/>
    </row>
    <row r="27" customFormat="false" ht="15" hidden="false" customHeight="false" outlineLevel="0" collapsed="false">
      <c r="A27" s="6" t="n">
        <v>5</v>
      </c>
      <c r="B27" s="7"/>
      <c r="C27" s="7"/>
      <c r="D27" s="7"/>
    </row>
    <row r="28" customFormat="false" ht="15" hidden="false" customHeight="false" outlineLevel="0" collapsed="false">
      <c r="A28" s="6" t="n">
        <v>6</v>
      </c>
      <c r="B28" s="7"/>
      <c r="C28" s="7"/>
      <c r="D28" s="7"/>
    </row>
    <row r="29" customFormat="false" ht="15" hidden="false" customHeight="false" outlineLevel="0" collapsed="false">
      <c r="A29" s="6" t="n">
        <v>7</v>
      </c>
      <c r="B29" s="7"/>
      <c r="C29" s="7"/>
      <c r="D29" s="7"/>
    </row>
    <row r="30" customFormat="false" ht="15" hidden="false" customHeight="false" outlineLevel="0" collapsed="false">
      <c r="A30" s="6" t="n">
        <v>8</v>
      </c>
      <c r="B30" s="7"/>
      <c r="C30" s="7"/>
      <c r="D30" s="7"/>
    </row>
    <row r="31" customFormat="false" ht="15" hidden="false" customHeight="false" outlineLevel="0" collapsed="false">
      <c r="A31" s="6" t="n">
        <v>9</v>
      </c>
      <c r="B31" s="7"/>
      <c r="C31" s="7"/>
      <c r="D31" s="7"/>
    </row>
    <row r="32" customFormat="false" ht="15" hidden="false" customHeight="false" outlineLevel="0" collapsed="false">
      <c r="A32" s="6" t="n">
        <v>10</v>
      </c>
      <c r="B32" s="7"/>
      <c r="C32" s="7"/>
      <c r="D32" s="7"/>
    </row>
    <row r="33" customFormat="false" ht="15" hidden="false" customHeight="false" outlineLevel="0" collapsed="false">
      <c r="A33" s="6" t="n">
        <v>11</v>
      </c>
      <c r="B33" s="7"/>
      <c r="C33" s="7"/>
      <c r="D33" s="7"/>
    </row>
    <row r="34" customFormat="false" ht="15" hidden="false" customHeight="false" outlineLevel="0" collapsed="false">
      <c r="A34" s="6" t="n">
        <v>12</v>
      </c>
      <c r="B34" s="7"/>
      <c r="C34" s="7"/>
      <c r="D34" s="7"/>
    </row>
    <row r="35" customFormat="false" ht="15" hidden="false" customHeight="false" outlineLevel="0" collapsed="false">
      <c r="A35" s="6" t="n">
        <v>13</v>
      </c>
      <c r="B35" s="7"/>
      <c r="C35" s="7"/>
      <c r="D35" s="7"/>
    </row>
    <row r="36" customFormat="false" ht="15" hidden="false" customHeight="false" outlineLevel="0" collapsed="false">
      <c r="A36" s="6" t="n">
        <v>14</v>
      </c>
      <c r="B36" s="7"/>
      <c r="C36" s="7"/>
      <c r="D36" s="7"/>
    </row>
    <row r="37" customFormat="false" ht="15" hidden="false" customHeight="false" outlineLevel="0" collapsed="false">
      <c r="A37" s="6" t="n">
        <v>15</v>
      </c>
      <c r="B37" s="7"/>
      <c r="C37" s="7"/>
      <c r="D37" s="7"/>
    </row>
    <row r="38" customFormat="false" ht="15" hidden="false" customHeight="false" outlineLevel="0" collapsed="false">
      <c r="A38" s="6" t="n">
        <v>16</v>
      </c>
      <c r="B38" s="7"/>
      <c r="C38" s="7"/>
      <c r="D38" s="7"/>
    </row>
    <row r="39" customFormat="false" ht="15" hidden="false" customHeight="false" outlineLevel="0" collapsed="false">
      <c r="A39" s="6" t="n">
        <v>17</v>
      </c>
      <c r="B39" s="7"/>
      <c r="C39" s="7"/>
      <c r="D39" s="7"/>
    </row>
    <row r="40" customFormat="false" ht="15" hidden="false" customHeight="false" outlineLevel="0" collapsed="false">
      <c r="A40" s="6" t="n">
        <v>18</v>
      </c>
      <c r="B40" s="7"/>
      <c r="C40" s="7"/>
      <c r="D40" s="7"/>
    </row>
    <row r="41" customFormat="false" ht="15" hidden="false" customHeight="false" outlineLevel="0" collapsed="false">
      <c r="A41" s="6" t="n">
        <v>19</v>
      </c>
      <c r="B41" s="7"/>
      <c r="C41" s="7"/>
      <c r="D41" s="7"/>
    </row>
    <row r="42" customFormat="false" ht="15" hidden="false" customHeight="false" outlineLevel="0" collapsed="false">
      <c r="A42" s="6" t="n">
        <v>20</v>
      </c>
      <c r="B42" s="7"/>
      <c r="C42" s="7"/>
      <c r="D42" s="7"/>
    </row>
    <row r="43" customFormat="false" ht="15" hidden="false" customHeight="false" outlineLevel="0" collapsed="false">
      <c r="A43" s="6" t="n">
        <v>21</v>
      </c>
      <c r="B43" s="7"/>
      <c r="C43" s="7"/>
      <c r="D43" s="7"/>
    </row>
    <row r="44" customFormat="false" ht="15" hidden="false" customHeight="false" outlineLevel="0" collapsed="false">
      <c r="A44" s="6" t="n">
        <v>22</v>
      </c>
      <c r="B44" s="7"/>
      <c r="C44" s="7"/>
      <c r="D44" s="7"/>
    </row>
    <row r="45" customFormat="false" ht="15" hidden="false" customHeight="false" outlineLevel="0" collapsed="false">
      <c r="A45" s="6" t="n">
        <v>23</v>
      </c>
      <c r="B45" s="7"/>
      <c r="C45" s="7"/>
      <c r="D45" s="7"/>
    </row>
    <row r="46" customFormat="false" ht="15" hidden="false" customHeight="false" outlineLevel="0" collapsed="false">
      <c r="A46" s="6" t="n">
        <v>24</v>
      </c>
      <c r="B46" s="7"/>
      <c r="C46" s="7"/>
      <c r="D46" s="7"/>
    </row>
    <row r="47" customFormat="false" ht="15" hidden="false" customHeight="false" outlineLevel="0" collapsed="false">
      <c r="A47" s="6" t="n">
        <v>25</v>
      </c>
      <c r="B47" s="7"/>
      <c r="C47" s="7"/>
      <c r="D47" s="7"/>
    </row>
    <row r="48" customFormat="false" ht="15" hidden="false" customHeight="false" outlineLevel="0" collapsed="false">
      <c r="A48" s="6" t="n">
        <v>26</v>
      </c>
      <c r="B48" s="7"/>
      <c r="C48" s="7"/>
      <c r="D48" s="7"/>
    </row>
    <row r="49" customFormat="false" ht="15" hidden="false" customHeight="false" outlineLevel="0" collapsed="false">
      <c r="A49" s="6" t="n">
        <v>27</v>
      </c>
      <c r="B49" s="7"/>
      <c r="C49" s="7"/>
      <c r="D49" s="7"/>
    </row>
    <row r="50" customFormat="false" ht="15" hidden="false" customHeight="false" outlineLevel="0" collapsed="false">
      <c r="A50" s="6" t="n">
        <v>28</v>
      </c>
      <c r="B50" s="7"/>
      <c r="C50" s="7"/>
      <c r="D50" s="7"/>
    </row>
    <row r="51" customFormat="false" ht="15" hidden="false" customHeight="false" outlineLevel="0" collapsed="false">
      <c r="A51" s="6" t="n">
        <v>29</v>
      </c>
      <c r="B51" s="7"/>
      <c r="C51" s="7"/>
      <c r="D51" s="7"/>
    </row>
    <row r="52" customFormat="false" ht="15" hidden="false" customHeight="false" outlineLevel="0" collapsed="false">
      <c r="A52" s="6" t="n">
        <v>30</v>
      </c>
      <c r="B52" s="7"/>
      <c r="C52" s="7"/>
      <c r="D52" s="7"/>
    </row>
    <row r="53" customFormat="false" ht="15" hidden="false" customHeight="false" outlineLevel="0" collapsed="false">
      <c r="A53" s="6" t="n">
        <v>31</v>
      </c>
      <c r="B53" s="7"/>
      <c r="C53" s="7"/>
      <c r="D53" s="7"/>
    </row>
    <row r="54" customFormat="false" ht="15" hidden="false" customHeight="false" outlineLevel="0" collapsed="false">
      <c r="A54" s="6" t="n">
        <v>32</v>
      </c>
      <c r="B54" s="7"/>
      <c r="C54" s="7"/>
      <c r="D54" s="7"/>
    </row>
    <row r="55" customFormat="false" ht="15" hidden="false" customHeight="false" outlineLevel="0" collapsed="false">
      <c r="A55" s="6" t="n">
        <v>33</v>
      </c>
      <c r="B55" s="7"/>
      <c r="C55" s="7"/>
      <c r="D55" s="7"/>
    </row>
    <row r="56" customFormat="false" ht="15" hidden="false" customHeight="false" outlineLevel="0" collapsed="false">
      <c r="A56" s="6" t="n">
        <v>34</v>
      </c>
      <c r="B56" s="7"/>
      <c r="C56" s="7"/>
      <c r="D56" s="7"/>
    </row>
    <row r="57" customFormat="false" ht="15" hidden="false" customHeight="false" outlineLevel="0" collapsed="false">
      <c r="A57" s="6" t="n">
        <v>35</v>
      </c>
      <c r="B57" s="7"/>
      <c r="C57" s="7"/>
      <c r="D57" s="7"/>
    </row>
    <row r="58" customFormat="false" ht="15" hidden="false" customHeight="false" outlineLevel="0" collapsed="false">
      <c r="A58" s="6" t="n">
        <v>36</v>
      </c>
      <c r="B58" s="7"/>
      <c r="C58" s="7"/>
      <c r="D58" s="7"/>
    </row>
    <row r="59" customFormat="false" ht="15" hidden="false" customHeight="false" outlineLevel="0" collapsed="false">
      <c r="A59" s="6" t="n">
        <v>37</v>
      </c>
      <c r="B59" s="7"/>
      <c r="C59" s="7"/>
      <c r="D59" s="7"/>
    </row>
    <row r="60" customFormat="false" ht="15" hidden="false" customHeight="false" outlineLevel="0" collapsed="false">
      <c r="A60" s="6" t="n">
        <v>38</v>
      </c>
      <c r="B60" s="7"/>
      <c r="C60" s="7"/>
      <c r="D60" s="7"/>
    </row>
    <row r="61" customFormat="false" ht="15" hidden="false" customHeight="false" outlineLevel="0" collapsed="false">
      <c r="A61" s="6" t="n">
        <v>39</v>
      </c>
      <c r="B61" s="7"/>
      <c r="C61" s="7"/>
      <c r="D61" s="7"/>
    </row>
    <row r="62" customFormat="false" ht="15" hidden="false" customHeight="false" outlineLevel="0" collapsed="false">
      <c r="A62" s="6" t="n">
        <v>40</v>
      </c>
      <c r="B62" s="7"/>
      <c r="C62" s="7"/>
      <c r="D62" s="7"/>
    </row>
    <row r="63" customFormat="false" ht="15" hidden="false" customHeight="false" outlineLevel="0" collapsed="false">
      <c r="A63" s="6" t="n">
        <v>41</v>
      </c>
      <c r="B63" s="7"/>
      <c r="C63" s="7"/>
      <c r="D63" s="7"/>
    </row>
    <row r="64" customFormat="false" ht="15" hidden="false" customHeight="false" outlineLevel="0" collapsed="false">
      <c r="A64" s="6" t="n">
        <v>42</v>
      </c>
      <c r="B64" s="7"/>
      <c r="C64" s="7"/>
      <c r="D64" s="7"/>
    </row>
    <row r="65" customFormat="false" ht="15" hidden="false" customHeight="false" outlineLevel="0" collapsed="false">
      <c r="A65" s="6" t="n">
        <v>43</v>
      </c>
      <c r="B65" s="7"/>
      <c r="C65" s="7"/>
      <c r="D65" s="7"/>
    </row>
    <row r="66" customFormat="false" ht="15" hidden="false" customHeight="false" outlineLevel="0" collapsed="false">
      <c r="A66" s="6" t="n">
        <v>44</v>
      </c>
      <c r="B66" s="7"/>
      <c r="C66" s="7"/>
      <c r="D66" s="7"/>
    </row>
    <row r="67" customFormat="false" ht="15" hidden="false" customHeight="false" outlineLevel="0" collapsed="false">
      <c r="A67" s="6" t="n">
        <v>45</v>
      </c>
      <c r="B67" s="7"/>
      <c r="C67" s="7"/>
      <c r="D67" s="7"/>
    </row>
    <row r="68" customFormat="false" ht="15" hidden="false" customHeight="false" outlineLevel="0" collapsed="false">
      <c r="A68" s="6" t="n">
        <v>46</v>
      </c>
      <c r="B68" s="7"/>
      <c r="C68" s="7"/>
      <c r="D68" s="7"/>
    </row>
    <row r="69" customFormat="false" ht="15" hidden="false" customHeight="false" outlineLevel="0" collapsed="false">
      <c r="A69" s="6" t="n">
        <v>47</v>
      </c>
      <c r="B69" s="7"/>
      <c r="C69" s="7"/>
      <c r="D69" s="7"/>
    </row>
    <row r="70" customFormat="false" ht="15" hidden="false" customHeight="false" outlineLevel="0" collapsed="false">
      <c r="A70" s="6" t="n">
        <v>48</v>
      </c>
      <c r="B70" s="7"/>
      <c r="C70" s="7"/>
      <c r="D70" s="7"/>
    </row>
    <row r="71" customFormat="false" ht="15" hidden="false" customHeight="false" outlineLevel="0" collapsed="false">
      <c r="A71" s="6" t="n">
        <v>49</v>
      </c>
      <c r="B71" s="7"/>
      <c r="C71" s="7"/>
      <c r="D71" s="7"/>
    </row>
    <row r="72" customFormat="false" ht="15" hidden="false" customHeight="false" outlineLevel="0" collapsed="false">
      <c r="A72" s="6" t="n">
        <v>50</v>
      </c>
      <c r="B72" s="7"/>
      <c r="C72" s="7"/>
      <c r="D72" s="7"/>
    </row>
    <row r="73" customFormat="false" ht="15" hidden="false" customHeight="false" outlineLevel="0" collapsed="false">
      <c r="A73" s="6" t="n">
        <v>51</v>
      </c>
      <c r="B73" s="7"/>
      <c r="C73" s="7"/>
      <c r="D73" s="7"/>
    </row>
    <row r="74" customFormat="false" ht="15" hidden="false" customHeight="false" outlineLevel="0" collapsed="false">
      <c r="A74" s="6" t="n">
        <v>52</v>
      </c>
      <c r="B74" s="7"/>
      <c r="C74" s="7"/>
      <c r="D74" s="7"/>
    </row>
    <row r="75" customFormat="false" ht="15" hidden="false" customHeight="false" outlineLevel="0" collapsed="false">
      <c r="A75" s="6" t="n">
        <v>53</v>
      </c>
      <c r="B75" s="7"/>
      <c r="C75" s="7"/>
      <c r="D75" s="7"/>
    </row>
    <row r="76" customFormat="false" ht="15" hidden="false" customHeight="false" outlineLevel="0" collapsed="false">
      <c r="A76" s="6" t="n">
        <v>54</v>
      </c>
      <c r="B76" s="7"/>
      <c r="C76" s="7"/>
      <c r="D76" s="7"/>
    </row>
    <row r="77" customFormat="false" ht="15" hidden="false" customHeight="false" outlineLevel="0" collapsed="false">
      <c r="A77" s="6" t="n">
        <v>55</v>
      </c>
      <c r="B77" s="7"/>
      <c r="C77" s="7"/>
      <c r="D77" s="7"/>
    </row>
    <row r="78" customFormat="false" ht="15" hidden="false" customHeight="false" outlineLevel="0" collapsed="false">
      <c r="A78" s="6" t="n">
        <v>56</v>
      </c>
      <c r="B78" s="7"/>
      <c r="C78" s="7"/>
      <c r="D78" s="7"/>
    </row>
    <row r="79" customFormat="false" ht="15" hidden="false" customHeight="false" outlineLevel="0" collapsed="false">
      <c r="A79" s="6" t="n">
        <v>57</v>
      </c>
      <c r="B79" s="7"/>
      <c r="C79" s="7"/>
      <c r="D79" s="7"/>
    </row>
    <row r="80" customFormat="false" ht="15" hidden="false" customHeight="false" outlineLevel="0" collapsed="false">
      <c r="A80" s="6" t="n">
        <v>58</v>
      </c>
      <c r="B80" s="7"/>
      <c r="C80" s="7"/>
      <c r="D80" s="7"/>
    </row>
    <row r="81" customFormat="false" ht="15" hidden="false" customHeight="false" outlineLevel="0" collapsed="false">
      <c r="A81" s="6" t="n">
        <v>59</v>
      </c>
      <c r="B81" s="7"/>
      <c r="C81" s="7"/>
      <c r="D81" s="7"/>
    </row>
    <row r="82" customFormat="false" ht="15" hidden="false" customHeight="false" outlineLevel="0" collapsed="false">
      <c r="A82" s="6" t="n">
        <v>60</v>
      </c>
      <c r="B82" s="7"/>
      <c r="C82" s="7"/>
      <c r="D82" s="7"/>
    </row>
    <row r="83" customFormat="false" ht="15" hidden="false" customHeight="false" outlineLevel="0" collapsed="false">
      <c r="A83" s="6" t="n">
        <v>61</v>
      </c>
      <c r="B83" s="7"/>
      <c r="C83" s="7"/>
      <c r="D83" s="7"/>
    </row>
    <row r="84" customFormat="false" ht="15" hidden="false" customHeight="false" outlineLevel="0" collapsed="false">
      <c r="A84" s="6" t="n">
        <v>62</v>
      </c>
      <c r="B84" s="7"/>
      <c r="C84" s="7"/>
      <c r="D84" s="7"/>
    </row>
    <row r="85" customFormat="false" ht="15" hidden="false" customHeight="false" outlineLevel="0" collapsed="false">
      <c r="A85" s="6" t="n">
        <v>63</v>
      </c>
      <c r="B85" s="7"/>
      <c r="C85" s="7"/>
      <c r="D85" s="7"/>
    </row>
    <row r="86" customFormat="false" ht="15" hidden="false" customHeight="false" outlineLevel="0" collapsed="false">
      <c r="A86" s="6" t="n">
        <v>64</v>
      </c>
      <c r="B86" s="7"/>
      <c r="C86" s="7"/>
      <c r="D86" s="7"/>
    </row>
    <row r="87" customFormat="false" ht="15" hidden="false" customHeight="false" outlineLevel="0" collapsed="false">
      <c r="A87" s="6" t="n">
        <v>65</v>
      </c>
      <c r="B87" s="7"/>
      <c r="C87" s="7"/>
      <c r="D87" s="7"/>
    </row>
    <row r="88" customFormat="false" ht="15" hidden="false" customHeight="false" outlineLevel="0" collapsed="false">
      <c r="A88" s="6" t="n">
        <v>66</v>
      </c>
      <c r="B88" s="7"/>
      <c r="C88" s="7"/>
      <c r="D88" s="7"/>
    </row>
    <row r="89" customFormat="false" ht="15" hidden="false" customHeight="false" outlineLevel="0" collapsed="false">
      <c r="A89" s="6" t="n">
        <v>67</v>
      </c>
      <c r="B89" s="7"/>
      <c r="C89" s="7"/>
      <c r="D89" s="7"/>
    </row>
    <row r="90" customFormat="false" ht="15" hidden="false" customHeight="false" outlineLevel="0" collapsed="false">
      <c r="A90" s="6" t="n">
        <v>68</v>
      </c>
      <c r="B90" s="7"/>
      <c r="C90" s="7"/>
      <c r="D90" s="7"/>
    </row>
    <row r="91" customFormat="false" ht="15" hidden="false" customHeight="false" outlineLevel="0" collapsed="false">
      <c r="A91" s="6" t="n">
        <v>69</v>
      </c>
      <c r="B91" s="7"/>
      <c r="C91" s="7"/>
      <c r="D91" s="7"/>
    </row>
    <row r="92" customFormat="false" ht="15" hidden="false" customHeight="false" outlineLevel="0" collapsed="false">
      <c r="A92" s="6" t="n">
        <v>70</v>
      </c>
      <c r="B92" s="7"/>
      <c r="C92" s="7"/>
      <c r="D92" s="7"/>
    </row>
    <row r="93" customFormat="false" ht="15" hidden="false" customHeight="false" outlineLevel="0" collapsed="false">
      <c r="A93" s="6" t="n">
        <v>71</v>
      </c>
      <c r="B93" s="7"/>
      <c r="C93" s="7"/>
      <c r="D93" s="7"/>
    </row>
    <row r="94" customFormat="false" ht="15" hidden="false" customHeight="false" outlineLevel="0" collapsed="false">
      <c r="A94" s="6" t="n">
        <v>72</v>
      </c>
      <c r="B94" s="7"/>
      <c r="C94" s="7"/>
      <c r="D94" s="7"/>
    </row>
    <row r="95" customFormat="false" ht="15" hidden="false" customHeight="false" outlineLevel="0" collapsed="false">
      <c r="A95" s="6" t="n">
        <v>73</v>
      </c>
      <c r="B95" s="7"/>
      <c r="C95" s="7"/>
      <c r="D95" s="7"/>
    </row>
    <row r="96" customFormat="false" ht="15" hidden="false" customHeight="false" outlineLevel="0" collapsed="false">
      <c r="A96" s="6" t="n">
        <v>74</v>
      </c>
      <c r="B96" s="7"/>
      <c r="C96" s="7"/>
      <c r="D96" s="7"/>
    </row>
    <row r="97" customFormat="false" ht="15" hidden="false" customHeight="false" outlineLevel="0" collapsed="false">
      <c r="A97" s="6" t="n">
        <v>75</v>
      </c>
      <c r="B97" s="7"/>
      <c r="C97" s="7"/>
      <c r="D97" s="7"/>
    </row>
    <row r="98" customFormat="false" ht="15" hidden="false" customHeight="false" outlineLevel="0" collapsed="false">
      <c r="A98" s="6" t="n">
        <v>76</v>
      </c>
      <c r="B98" s="7"/>
      <c r="C98" s="7"/>
      <c r="D98" s="7"/>
    </row>
    <row r="99" customFormat="false" ht="15" hidden="false" customHeight="false" outlineLevel="0" collapsed="false">
      <c r="A99" s="6" t="n">
        <v>77</v>
      </c>
      <c r="B99" s="7"/>
      <c r="C99" s="7"/>
      <c r="D99" s="7"/>
    </row>
    <row r="100" customFormat="false" ht="15" hidden="false" customHeight="false" outlineLevel="0" collapsed="false">
      <c r="A100" s="6" t="n">
        <v>78</v>
      </c>
      <c r="B100" s="7"/>
      <c r="C100" s="7"/>
      <c r="D100" s="7"/>
    </row>
    <row r="101" customFormat="false" ht="15" hidden="false" customHeight="false" outlineLevel="0" collapsed="false">
      <c r="A101" s="6" t="n">
        <v>79</v>
      </c>
      <c r="B101" s="7"/>
      <c r="C101" s="7"/>
      <c r="D101" s="7"/>
    </row>
    <row r="102" customFormat="false" ht="15" hidden="false" customHeight="false" outlineLevel="0" collapsed="false">
      <c r="A102" s="6" t="n">
        <v>80</v>
      </c>
      <c r="B102" s="7"/>
      <c r="C102" s="7"/>
      <c r="D102" s="7"/>
    </row>
    <row r="103" customFormat="false" ht="15" hidden="false" customHeight="false" outlineLevel="0" collapsed="false">
      <c r="A103" s="6" t="n">
        <v>81</v>
      </c>
      <c r="B103" s="7"/>
      <c r="C103" s="7"/>
      <c r="D103" s="7"/>
    </row>
    <row r="104" customFormat="false" ht="15" hidden="false" customHeight="false" outlineLevel="0" collapsed="false">
      <c r="A104" s="6" t="n">
        <v>82</v>
      </c>
      <c r="B104" s="7"/>
      <c r="C104" s="7"/>
      <c r="D104" s="7"/>
    </row>
    <row r="105" customFormat="false" ht="15" hidden="false" customHeight="false" outlineLevel="0" collapsed="false">
      <c r="A105" s="6" t="n">
        <v>83</v>
      </c>
      <c r="B105" s="7"/>
      <c r="C105" s="7"/>
      <c r="D105" s="7"/>
    </row>
    <row r="106" customFormat="false" ht="15" hidden="false" customHeight="false" outlineLevel="0" collapsed="false">
      <c r="A106" s="6" t="n">
        <v>84</v>
      </c>
      <c r="B106" s="7"/>
      <c r="C106" s="7"/>
      <c r="D106" s="7"/>
    </row>
    <row r="107" customFormat="false" ht="15" hidden="false" customHeight="false" outlineLevel="0" collapsed="false">
      <c r="A107" s="6" t="n">
        <v>85</v>
      </c>
      <c r="B107" s="7"/>
      <c r="C107" s="7"/>
      <c r="D107" s="7"/>
    </row>
    <row r="108" customFormat="false" ht="15" hidden="false" customHeight="false" outlineLevel="0" collapsed="false">
      <c r="A108" s="6" t="n">
        <v>86</v>
      </c>
      <c r="B108" s="7"/>
      <c r="C108" s="7"/>
      <c r="D108" s="7"/>
    </row>
    <row r="109" customFormat="false" ht="15" hidden="false" customHeight="false" outlineLevel="0" collapsed="false">
      <c r="A109" s="6" t="n">
        <v>87</v>
      </c>
      <c r="B109" s="7"/>
      <c r="C109" s="7"/>
      <c r="D109" s="7"/>
    </row>
    <row r="110" customFormat="false" ht="15" hidden="false" customHeight="false" outlineLevel="0" collapsed="false">
      <c r="A110" s="6" t="n">
        <v>88</v>
      </c>
      <c r="B110" s="7"/>
      <c r="C110" s="7"/>
      <c r="D110" s="7"/>
    </row>
    <row r="111" customFormat="false" ht="15" hidden="false" customHeight="false" outlineLevel="0" collapsed="false">
      <c r="A111" s="6" t="n">
        <v>89</v>
      </c>
      <c r="B111" s="7"/>
      <c r="C111" s="7"/>
      <c r="D111" s="7"/>
    </row>
    <row r="112" customFormat="false" ht="15" hidden="false" customHeight="false" outlineLevel="0" collapsed="false">
      <c r="A112" s="6" t="n">
        <v>90</v>
      </c>
      <c r="B112" s="7"/>
      <c r="C112" s="7"/>
      <c r="D112" s="7"/>
    </row>
    <row r="113" customFormat="false" ht="15" hidden="false" customHeight="false" outlineLevel="0" collapsed="false">
      <c r="A113" s="6" t="n">
        <v>91</v>
      </c>
      <c r="B113" s="7"/>
      <c r="C113" s="7"/>
      <c r="D113" s="7"/>
    </row>
    <row r="114" customFormat="false" ht="15" hidden="false" customHeight="false" outlineLevel="0" collapsed="false">
      <c r="A114" s="6" t="n">
        <v>92</v>
      </c>
      <c r="B114" s="7"/>
      <c r="C114" s="7"/>
      <c r="D114" s="7"/>
    </row>
    <row r="115" customFormat="false" ht="15" hidden="false" customHeight="false" outlineLevel="0" collapsed="false">
      <c r="A115" s="6" t="n">
        <v>93</v>
      </c>
      <c r="B115" s="7"/>
      <c r="C115" s="7"/>
      <c r="D115" s="7"/>
    </row>
    <row r="116" customFormat="false" ht="15" hidden="false" customHeight="false" outlineLevel="0" collapsed="false">
      <c r="A116" s="6" t="n">
        <v>94</v>
      </c>
      <c r="B116" s="7"/>
      <c r="C116" s="7"/>
      <c r="D116" s="7"/>
    </row>
    <row r="117" customFormat="false" ht="15" hidden="false" customHeight="false" outlineLevel="0" collapsed="false">
      <c r="A117" s="6" t="n">
        <v>95</v>
      </c>
      <c r="B117" s="7"/>
      <c r="C117" s="7"/>
      <c r="D117" s="7"/>
    </row>
    <row r="118" customFormat="false" ht="15" hidden="false" customHeight="false" outlineLevel="0" collapsed="false">
      <c r="A118" s="6" t="n">
        <v>96</v>
      </c>
      <c r="B118" s="7"/>
      <c r="C118" s="7"/>
      <c r="D118" s="7"/>
    </row>
    <row r="119" customFormat="false" ht="15" hidden="false" customHeight="false" outlineLevel="0" collapsed="false">
      <c r="A119" s="6" t="n">
        <v>97</v>
      </c>
      <c r="B119" s="7"/>
      <c r="C119" s="7"/>
      <c r="D119" s="7"/>
    </row>
    <row r="120" customFormat="false" ht="15" hidden="false" customHeight="false" outlineLevel="0" collapsed="false">
      <c r="A120" s="6" t="n">
        <v>98</v>
      </c>
      <c r="B120" s="7"/>
      <c r="C120" s="7"/>
      <c r="D120" s="7"/>
    </row>
    <row r="121" customFormat="false" ht="15" hidden="false" customHeight="false" outlineLevel="0" collapsed="false">
      <c r="A121" s="6" t="n">
        <v>99</v>
      </c>
      <c r="B121" s="7"/>
      <c r="C121" s="7"/>
      <c r="D121" s="7"/>
    </row>
    <row r="122" customFormat="false" ht="15" hidden="false" customHeight="false" outlineLevel="0" collapsed="false">
      <c r="A122" s="6" t="n">
        <v>100</v>
      </c>
      <c r="B122" s="7"/>
      <c r="C122" s="7"/>
      <c r="D122" s="7"/>
    </row>
  </sheetData>
  <dataValidations count="5">
    <dataValidation allowBlank="false" error="Enter 0 to 100" errorStyle="stop" operator="between" showDropDown="false" showErrorMessage="true" showInputMessage="false" sqref="B3" type="whole">
      <formula1>0</formula1>
      <formula2>100</formula2>
    </dataValidation>
    <dataValidation allowBlank="false" error="Enter 1 to 24" errorStyle="stop" operator="between" showDropDown="false" showErrorMessage="true" showInputMessage="false" sqref="B4" type="decimal">
      <formula1>1</formula1>
      <formula2>24</formula2>
    </dataValidation>
    <dataValidation allowBlank="false" error="Enter 1 to 7" errorStyle="stop" operator="between" showDropDown="false" showErrorMessage="true" showInputMessage="false" sqref="B5" type="whole">
      <formula1>1</formula1>
      <formula2>7</formula2>
    </dataValidation>
    <dataValidation allowBlank="true" errorStyle="stop" operator="between" showDropDown="false" showErrorMessage="false" showInputMessage="false" sqref="C23:C122" type="list">
      <formula1>$A$11:$A$17</formula1>
      <formula2>0</formula2>
    </dataValidation>
    <dataValidation allowBlank="true" errorStyle="stop" operator="between" showDropDown="false" showErrorMessage="false" showInputMessage="false" sqref="D23:D122" type="list">
      <formula1>"Open,Close"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9" min="3" style="0" width="20"/>
    <col collapsed="false" customWidth="true" hidden="false" outlineLevel="0" max="11" min="10" style="0" width="12"/>
    <col collapsed="false" customWidth="true" hidden="false" outlineLevel="0" max="12" min="12" style="0" width="14"/>
  </cols>
  <sheetData>
    <row r="1" customFormat="false" ht="17.35" hidden="false" customHeight="false" outlineLevel="0" collapsed="false">
      <c r="A1" s="1" t="s">
        <v>41</v>
      </c>
    </row>
    <row r="2" customFormat="false" ht="15" hidden="false" customHeight="false" outlineLevel="0" collapsed="false">
      <c r="A2" s="8" t="str">
        <f aca="false">IF(SUM(Coverage!B58:H58)=0,"Coverage check: OK, no gaps in operating hours","Coverage check: "&amp;SUM(Coverage!B58:H58)&amp;" half-hour slots below the minimum. "&amp;IF(Inputs!B3&lt;Inputs!B8,"Add at least "&amp;(Inputs!B8-Inputs!B3)&amp;" more agent(s) (see Suggested number of agents on Inputs).","Try 1 or more extra agents."))</f>
        <v>Coverage check: OK, no gaps in operating hours</v>
      </c>
    </row>
    <row r="3" customFormat="false" ht="15" hidden="false" customHeight="false" outlineLevel="0" collapsed="false">
      <c r="A3" s="8" t="s">
        <v>42</v>
      </c>
      <c r="C3" s="9" t="n">
        <f aca="false">SUM(Calc!F6:F105)</f>
        <v>7</v>
      </c>
      <c r="D3" s="9" t="n">
        <f aca="false">SUM(Calc!G6:G105)</f>
        <v>7</v>
      </c>
      <c r="E3" s="9" t="n">
        <f aca="false">SUM(Calc!H6:H105)</f>
        <v>8</v>
      </c>
      <c r="F3" s="9" t="n">
        <f aca="false">SUM(Calc!I6:I105)</f>
        <v>7</v>
      </c>
      <c r="G3" s="9" t="n">
        <f aca="false">SUM(Calc!J6:J105)</f>
        <v>8</v>
      </c>
      <c r="H3" s="9" t="n">
        <f aca="false">SUM(Calc!K6:K105)</f>
        <v>7</v>
      </c>
      <c r="I3" s="9" t="n">
        <f aca="false">SUM(Calc!L6:L105)</f>
        <v>6</v>
      </c>
    </row>
    <row r="4" customFormat="false" ht="15" hidden="false" customHeight="false" outlineLevel="0" collapsed="false">
      <c r="A4" s="8" t="s">
        <v>43</v>
      </c>
      <c r="C4" s="9" t="n">
        <f aca="false">Inputs!$G$11</f>
        <v>2</v>
      </c>
      <c r="D4" s="9" t="n">
        <f aca="false">Inputs!$G$12</f>
        <v>2</v>
      </c>
      <c r="E4" s="9" t="n">
        <f aca="false">Inputs!$G$13</f>
        <v>2</v>
      </c>
      <c r="F4" s="9" t="n">
        <f aca="false">Inputs!$G$14</f>
        <v>2</v>
      </c>
      <c r="G4" s="9" t="n">
        <f aca="false">Inputs!$G$15</f>
        <v>2</v>
      </c>
      <c r="H4" s="9" t="n">
        <f aca="false">Inputs!$G$16</f>
        <v>2</v>
      </c>
      <c r="I4" s="9" t="n">
        <f aca="false">Inputs!$G$17</f>
        <v>2</v>
      </c>
    </row>
    <row r="5" customFormat="false" ht="15" hidden="false" customHeight="false" outlineLevel="0" collapsed="false">
      <c r="A5" s="10" t="s">
        <v>36</v>
      </c>
      <c r="B5" s="10" t="s">
        <v>44</v>
      </c>
      <c r="C5" s="10" t="s">
        <v>27</v>
      </c>
      <c r="D5" s="10" t="s">
        <v>28</v>
      </c>
      <c r="E5" s="10" t="s">
        <v>29</v>
      </c>
      <c r="F5" s="10" t="s">
        <v>30</v>
      </c>
      <c r="G5" s="10" t="s">
        <v>31</v>
      </c>
      <c r="H5" s="10" t="s">
        <v>32</v>
      </c>
      <c r="I5" s="10" t="s">
        <v>33</v>
      </c>
      <c r="J5" s="10" t="s">
        <v>45</v>
      </c>
      <c r="K5" s="10" t="s">
        <v>46</v>
      </c>
      <c r="L5" s="10" t="s">
        <v>47</v>
      </c>
    </row>
    <row r="6" customFormat="false" ht="15" hidden="false" customHeight="false" outlineLevel="0" collapsed="false">
      <c r="A6" s="6" t="n">
        <f aca="false">IF(Calc!B6=1,1,"")</f>
        <v>1</v>
      </c>
      <c r="B6" s="6" t="str">
        <f aca="false">IF(Calc!B6=0,"",IF(Inputs!B23&lt;&gt;"",Inputs!B23,"Agent "&amp;1))</f>
        <v>Asha (example)</v>
      </c>
      <c r="C6" s="13" t="str">
        <f aca="false">IF(Calc!$B6=0,"",IF(Calc!F$3=0,"Closed",IF(Calc!F6=0,"Off",TEXT(MOD(Calc!T6,1),"h:mm AM/PM")&amp;IF(Calc!T6&gt;=1," (+1)","")&amp;" - "&amp;TEXT(MOD(Calc!AA6,1),"h:mm AM/PM")&amp;IF(Calc!AA6&gt;1," (+1)",""))))</f>
        <v>6:00 AM - 2:30 PM</v>
      </c>
      <c r="D6" s="13" t="str">
        <f aca="false">IF(Calc!$B6=0,"",IF(Calc!G$3=0,"Closed",IF(Calc!G6=0,"Off",TEXT(MOD(Calc!U6,1),"h:mm AM/PM")&amp;IF(Calc!U6&gt;=1," (+1)","")&amp;" - "&amp;TEXT(MOD(Calc!AB6,1),"h:mm AM/PM")&amp;IF(Calc!AB6&gt;1," (+1)",""))))</f>
        <v>6:00 AM - 2:30 PM</v>
      </c>
      <c r="E6" s="13" t="str">
        <f aca="false">IF(Calc!$B6=0,"",IF(Calc!H$3=0,"Closed",IF(Calc!H6=0,"Off",TEXT(MOD(Calc!V6,1),"h:mm AM/PM")&amp;IF(Calc!V6&gt;=1," (+1)","")&amp;" - "&amp;TEXT(MOD(Calc!AC6,1),"h:mm AM/PM")&amp;IF(Calc!AC6&gt;1," (+1)",""))))</f>
        <v>6:00 AM - 2:30 PM</v>
      </c>
      <c r="F6" s="13" t="str">
        <f aca="false">IF(Calc!$B6=0,"",IF(Calc!I$3=0,"Closed",IF(Calc!I6=0,"Off",TEXT(MOD(Calc!W6,1),"h:mm AM/PM")&amp;IF(Calc!W6&gt;=1," (+1)","")&amp;" - "&amp;TEXT(MOD(Calc!AD6,1),"h:mm AM/PM")&amp;IF(Calc!AD6&gt;1," (+1)",""))))</f>
        <v>6:00 AM - 2:30 PM</v>
      </c>
      <c r="G6" s="13" t="str">
        <f aca="false">IF(Calc!$B6=0,"",IF(Calc!J$3=0,"Closed",IF(Calc!J6=0,"Off",TEXT(MOD(Calc!X6,1),"h:mm AM/PM")&amp;IF(Calc!X6&gt;=1," (+1)","")&amp;" - "&amp;TEXT(MOD(Calc!AE6,1),"h:mm AM/PM")&amp;IF(Calc!AE6&gt;1," (+1)",""))))</f>
        <v>6:00 AM - 2:30 PM</v>
      </c>
      <c r="H6" s="13" t="str">
        <f aca="false">IF(Calc!$B6=0,"",IF(Calc!K$3=0,"Closed",IF(Calc!K6=0,"Off",TEXT(MOD(Calc!Y6,1),"h:mm AM/PM")&amp;IF(Calc!Y6&gt;=1," (+1)","")&amp;" - "&amp;TEXT(MOD(Calc!AF6,1),"h:mm AM/PM")&amp;IF(Calc!AF6&gt;1," (+1)",""))))</f>
        <v>Off</v>
      </c>
      <c r="I6" s="13" t="str">
        <f aca="false">IF(Calc!$B6=0,"",IF(Calc!L$3=0,"Closed",IF(Calc!L6=0,"Off",TEXT(MOD(Calc!Z6,1),"h:mm AM/PM")&amp;IF(Calc!Z6&gt;=1," (+1)","")&amp;" - "&amp;TEXT(MOD(Calc!AG6,1),"h:mm AM/PM")&amp;IF(Calc!AG6&gt;1," (+1)",""))))</f>
        <v>Off</v>
      </c>
      <c r="J6" s="12" t="n">
        <f aca="false">IF(Calc!B6=0,"",(SUM(Calc!AA6:AG6)-SUM(Calc!T6:Z6))*24)</f>
        <v>42.5</v>
      </c>
      <c r="K6" s="6" t="n">
        <f aca="false">IF(Calc!B6=0,"",SUM(Calc!F6:L6))</f>
        <v>5</v>
      </c>
      <c r="L6" s="6" t="str">
        <f aca="false">IF(Calc!B6=0,"",IF(Inputs!$B$6=0,"None",CHOOSE(Calc!D6+1,"Mon","Tue","Wed","Thu","Fri","Sat","Sun")&amp;" to "&amp;CHOOSE(MOD(Calc!D6+Inputs!$B$6-1,7)+1,"Mon","Tue","Wed","Thu","Fri","Sat","Sun")))</f>
        <v>Sat to Sun</v>
      </c>
    </row>
    <row r="7" customFormat="false" ht="15" hidden="false" customHeight="false" outlineLevel="0" collapsed="false">
      <c r="A7" s="6" t="n">
        <f aca="false">IF(Calc!B7=1,2,"")</f>
        <v>2</v>
      </c>
      <c r="B7" s="6" t="str">
        <f aca="false">IF(Calc!B7=0,"",IF(Inputs!B24&lt;&gt;"",Inputs!B24,"Agent "&amp;2))</f>
        <v>Agent 2</v>
      </c>
      <c r="C7" s="13" t="str">
        <f aca="false">IF(Calc!$B7=0,"",IF(Calc!F$3=0,"Closed",IF(Calc!F7=0,"Off",TEXT(MOD(Calc!T7,1),"h:mm AM/PM")&amp;IF(Calc!T7&gt;=1," (+1)","")&amp;" - "&amp;TEXT(MOD(Calc!AA7,1),"h:mm AM/PM")&amp;IF(Calc!AA7&gt;1," (+1)",""))))</f>
        <v>Off</v>
      </c>
      <c r="D7" s="13" t="str">
        <f aca="false">IF(Calc!$B7=0,"",IF(Calc!G$3=0,"Closed",IF(Calc!G7=0,"Off",TEXT(MOD(Calc!U7,1),"h:mm AM/PM")&amp;IF(Calc!U7&gt;=1," (+1)","")&amp;" - "&amp;TEXT(MOD(Calc!AB7,1),"h:mm AM/PM")&amp;IF(Calc!AB7&gt;1," (+1)",""))))</f>
        <v>Off</v>
      </c>
      <c r="E7" s="13" t="str">
        <f aca="false">IF(Calc!$B7=0,"",IF(Calc!H$3=0,"Closed",IF(Calc!H7=0,"Off",TEXT(MOD(Calc!V7,1),"h:mm AM/PM")&amp;IF(Calc!V7&gt;=1," (+1)","")&amp;" - "&amp;TEXT(MOD(Calc!AC7,1),"h:mm AM/PM")&amp;IF(Calc!AC7&gt;1," (+1)",""))))</f>
        <v>6:30 AM - 3:00 PM</v>
      </c>
      <c r="F7" s="13" t="str">
        <f aca="false">IF(Calc!$B7=0,"",IF(Calc!I$3=0,"Closed",IF(Calc!I7=0,"Off",TEXT(MOD(Calc!W7,1),"h:mm AM/PM")&amp;IF(Calc!W7&gt;=1," (+1)","")&amp;" - "&amp;TEXT(MOD(Calc!AD7,1),"h:mm AM/PM")&amp;IF(Calc!AD7&gt;1," (+1)",""))))</f>
        <v>6:45 AM - 3:15 PM</v>
      </c>
      <c r="G7" s="13" t="str">
        <f aca="false">IF(Calc!$B7=0,"",IF(Calc!J$3=0,"Closed",IF(Calc!J7=0,"Off",TEXT(MOD(Calc!X7,1),"h:mm AM/PM")&amp;IF(Calc!X7&gt;=1," (+1)","")&amp;" - "&amp;TEXT(MOD(Calc!AE7,1),"h:mm AM/PM")&amp;IF(Calc!AE7&gt;1," (+1)",""))))</f>
        <v>6:30 AM - 3:00 PM</v>
      </c>
      <c r="H7" s="13" t="str">
        <f aca="false">IF(Calc!$B7=0,"",IF(Calc!K$3=0,"Closed",IF(Calc!K7=0,"Off",TEXT(MOD(Calc!Y7,1),"h:mm AM/PM")&amp;IF(Calc!Y7&gt;=1," (+1)","")&amp;" - "&amp;TEXT(MOD(Calc!AF7,1),"h:mm AM/PM")&amp;IF(Calc!AF7&gt;1," (+1)",""))))</f>
        <v>6:00 AM - 2:30 PM</v>
      </c>
      <c r="I7" s="13" t="str">
        <f aca="false">IF(Calc!$B7=0,"",IF(Calc!L$3=0,"Closed",IF(Calc!L7=0,"Off",TEXT(MOD(Calc!Z7,1),"h:mm AM/PM")&amp;IF(Calc!Z7&gt;=1," (+1)","")&amp;" - "&amp;TEXT(MOD(Calc!AG7,1),"h:mm AM/PM")&amp;IF(Calc!AG7&gt;1," (+1)",""))))</f>
        <v>6:00 AM - 2:30 PM</v>
      </c>
      <c r="J7" s="12" t="n">
        <f aca="false">IF(Calc!B7=0,"",(SUM(Calc!AA7:AG7)-SUM(Calc!T7:Z7))*24)</f>
        <v>42.5</v>
      </c>
      <c r="K7" s="6" t="n">
        <f aca="false">IF(Calc!B7=0,"",SUM(Calc!F7:L7))</f>
        <v>5</v>
      </c>
      <c r="L7" s="6" t="str">
        <f aca="false">IF(Calc!B7=0,"",IF(Inputs!$B$6=0,"None",CHOOSE(Calc!D7+1,"Mon","Tue","Wed","Thu","Fri","Sat","Sun")&amp;" to "&amp;CHOOSE(MOD(Calc!D7+Inputs!$B$6-1,7)+1,"Mon","Tue","Wed","Thu","Fri","Sat","Sun")))</f>
        <v>Mon to Tue</v>
      </c>
    </row>
    <row r="8" customFormat="false" ht="15" hidden="false" customHeight="false" outlineLevel="0" collapsed="false">
      <c r="A8" s="6" t="n">
        <f aca="false">IF(Calc!B8=1,3,"")</f>
        <v>3</v>
      </c>
      <c r="B8" s="6" t="str">
        <f aca="false">IF(Calc!B8=0,"",IF(Inputs!B25&lt;&gt;"",Inputs!B25,"Agent "&amp;3))</f>
        <v>Agent 3</v>
      </c>
      <c r="C8" s="13" t="str">
        <f aca="false">IF(Calc!$B8=0,"",IF(Calc!F$3=0,"Closed",IF(Calc!F8=0,"Off",TEXT(MOD(Calc!T8,1),"h:mm AM/PM")&amp;IF(Calc!T8&gt;=1," (+1)","")&amp;" - "&amp;TEXT(MOD(Calc!AA8,1),"h:mm AM/PM")&amp;IF(Calc!AA8&gt;1," (+1)",""))))</f>
        <v>6:45 AM - 3:15 PM</v>
      </c>
      <c r="D8" s="13" t="str">
        <f aca="false">IF(Calc!$B8=0,"",IF(Calc!G$3=0,"Closed",IF(Calc!G8=0,"Off",TEXT(MOD(Calc!U8,1),"h:mm AM/PM")&amp;IF(Calc!U8&gt;=1," (+1)","")&amp;" - "&amp;TEXT(MOD(Calc!AB8,1),"h:mm AM/PM")&amp;IF(Calc!AB8&gt;1," (+1)",""))))</f>
        <v>6:45 AM - 3:15 PM</v>
      </c>
      <c r="E8" s="13" t="str">
        <f aca="false">IF(Calc!$B8=0,"",IF(Calc!H$3=0,"Closed",IF(Calc!H8=0,"Off",TEXT(MOD(Calc!V8,1),"h:mm AM/PM")&amp;IF(Calc!V8&gt;=1," (+1)","")&amp;" - "&amp;TEXT(MOD(Calc!AC8,1),"h:mm AM/PM")&amp;IF(Calc!AC8&gt;1," (+1)",""))))</f>
        <v>Off</v>
      </c>
      <c r="F8" s="13" t="str">
        <f aca="false">IF(Calc!$B8=0,"",IF(Calc!I$3=0,"Closed",IF(Calc!I8=0,"Off",TEXT(MOD(Calc!W8,1),"h:mm AM/PM")&amp;IF(Calc!W8&gt;=1," (+1)","")&amp;" - "&amp;TEXT(MOD(Calc!AD8,1),"h:mm AM/PM")&amp;IF(Calc!AD8&gt;1," (+1)",""))))</f>
        <v>Off</v>
      </c>
      <c r="G8" s="13" t="str">
        <f aca="false">IF(Calc!$B8=0,"",IF(Calc!J$3=0,"Closed",IF(Calc!J8=0,"Off",TEXT(MOD(Calc!X8,1),"h:mm AM/PM")&amp;IF(Calc!X8&gt;=1," (+1)","")&amp;" - "&amp;TEXT(MOD(Calc!AE8,1),"h:mm AM/PM")&amp;IF(Calc!AE8&gt;1," (+1)",""))))</f>
        <v>7:15 AM - 3:45 PM</v>
      </c>
      <c r="H8" s="13" t="str">
        <f aca="false">IF(Calc!$B8=0,"",IF(Calc!K$3=0,"Closed",IF(Calc!K8=0,"Off",TEXT(MOD(Calc!Y8,1),"h:mm AM/PM")&amp;IF(Calc!Y8&gt;=1," (+1)","")&amp;" - "&amp;TEXT(MOD(Calc!AF8,1),"h:mm AM/PM")&amp;IF(Calc!AF8&gt;1," (+1)",""))))</f>
        <v>6:45 AM - 3:15 PM</v>
      </c>
      <c r="I8" s="13" t="str">
        <f aca="false">IF(Calc!$B8=0,"",IF(Calc!L$3=0,"Closed",IF(Calc!L8=0,"Off",TEXT(MOD(Calc!Z8,1),"h:mm AM/PM")&amp;IF(Calc!Z8&gt;=1," (+1)","")&amp;" - "&amp;TEXT(MOD(Calc!AG8,1),"h:mm AM/PM")&amp;IF(Calc!AG8&gt;1," (+1)",""))))</f>
        <v>6:45 AM - 3:15 PM</v>
      </c>
      <c r="J8" s="12" t="n">
        <f aca="false">IF(Calc!B8=0,"",(SUM(Calc!AA8:AG8)-SUM(Calc!T8:Z8))*24)</f>
        <v>42.5</v>
      </c>
      <c r="K8" s="6" t="n">
        <f aca="false">IF(Calc!B8=0,"",SUM(Calc!F8:L8))</f>
        <v>5</v>
      </c>
      <c r="L8" s="6" t="str">
        <f aca="false">IF(Calc!B8=0,"",IF(Inputs!$B$6=0,"None",CHOOSE(Calc!D8+1,"Mon","Tue","Wed","Thu","Fri","Sat","Sun")&amp;" to "&amp;CHOOSE(MOD(Calc!D8+Inputs!$B$6-1,7)+1,"Mon","Tue","Wed","Thu","Fri","Sat","Sun")))</f>
        <v>Wed to Thu</v>
      </c>
    </row>
    <row r="9" customFormat="false" ht="15" hidden="false" customHeight="false" outlineLevel="0" collapsed="false">
      <c r="A9" s="6" t="n">
        <f aca="false">IF(Calc!B9=1,4,"")</f>
        <v>4</v>
      </c>
      <c r="B9" s="6" t="str">
        <f aca="false">IF(Calc!B9=0,"",IF(Inputs!B26&lt;&gt;"",Inputs!B26,"Agent "&amp;4))</f>
        <v>Agent 4</v>
      </c>
      <c r="C9" s="13" t="str">
        <f aca="false">IF(Calc!$B9=0,"",IF(Calc!F$3=0,"Closed",IF(Calc!F9=0,"Off",TEXT(MOD(Calc!T9,1),"h:mm AM/PM")&amp;IF(Calc!T9&gt;=1," (+1)","")&amp;" - "&amp;TEXT(MOD(Calc!AA9,1),"h:mm AM/PM")&amp;IF(Calc!AA9&gt;1," (+1)",""))))</f>
        <v>7:15 AM - 3:45 PM</v>
      </c>
      <c r="D9" s="13" t="str">
        <f aca="false">IF(Calc!$B9=0,"",IF(Calc!G$3=0,"Closed",IF(Calc!G9=0,"Off",TEXT(MOD(Calc!U9,1),"h:mm AM/PM")&amp;IF(Calc!U9&gt;=1," (+1)","")&amp;" - "&amp;TEXT(MOD(Calc!AB9,1),"h:mm AM/PM")&amp;IF(Calc!AB9&gt;1," (+1)",""))))</f>
        <v>7:15 AM - 3:45 PM</v>
      </c>
      <c r="E9" s="13" t="str">
        <f aca="false">IF(Calc!$B9=0,"",IF(Calc!H$3=0,"Closed",IF(Calc!H9=0,"Off",TEXT(MOD(Calc!V9,1),"h:mm AM/PM")&amp;IF(Calc!V9&gt;=1," (+1)","")&amp;" - "&amp;TEXT(MOD(Calc!AC9,1),"h:mm AM/PM")&amp;IF(Calc!AC9&gt;1," (+1)",""))))</f>
        <v>7:15 AM - 3:45 PM</v>
      </c>
      <c r="F9" s="13" t="str">
        <f aca="false">IF(Calc!$B9=0,"",IF(Calc!I$3=0,"Closed",IF(Calc!I9=0,"Off",TEXT(MOD(Calc!W9,1),"h:mm AM/PM")&amp;IF(Calc!W9&gt;=1," (+1)","")&amp;" - "&amp;TEXT(MOD(Calc!AD9,1),"h:mm AM/PM")&amp;IF(Calc!AD9&gt;1," (+1)",""))))</f>
        <v>Off</v>
      </c>
      <c r="G9" s="13" t="str">
        <f aca="false">IF(Calc!$B9=0,"",IF(Calc!J$3=0,"Closed",IF(Calc!J9=0,"Off",TEXT(MOD(Calc!X9,1),"h:mm AM/PM")&amp;IF(Calc!X9&gt;=1," (+1)","")&amp;" - "&amp;TEXT(MOD(Calc!AE9,1),"h:mm AM/PM")&amp;IF(Calc!AE9&gt;1," (+1)",""))))</f>
        <v>Off</v>
      </c>
      <c r="H9" s="13" t="str">
        <f aca="false">IF(Calc!$B9=0,"",IF(Calc!K$3=0,"Closed",IF(Calc!K9=0,"Off",TEXT(MOD(Calc!Y9,1),"h:mm AM/PM")&amp;IF(Calc!Y9&gt;=1," (+1)","")&amp;" - "&amp;TEXT(MOD(Calc!AF9,1),"h:mm AM/PM")&amp;IF(Calc!AF9&gt;1," (+1)",""))))</f>
        <v>7:15 AM - 3:45 PM</v>
      </c>
      <c r="I9" s="13" t="str">
        <f aca="false">IF(Calc!$B9=0,"",IF(Calc!L$3=0,"Closed",IF(Calc!L9=0,"Off",TEXT(MOD(Calc!Z9,1),"h:mm AM/PM")&amp;IF(Calc!Z9&gt;=1," (+1)","")&amp;" - "&amp;TEXT(MOD(Calc!AG9,1),"h:mm AM/PM")&amp;IF(Calc!AG9&gt;1," (+1)",""))))</f>
        <v>7:30 AM - 4:00 PM</v>
      </c>
      <c r="J9" s="12" t="n">
        <f aca="false">IF(Calc!B9=0,"",(SUM(Calc!AA9:AG9)-SUM(Calc!T9:Z9))*24)</f>
        <v>42.5</v>
      </c>
      <c r="K9" s="6" t="n">
        <f aca="false">IF(Calc!B9=0,"",SUM(Calc!F9:L9))</f>
        <v>5</v>
      </c>
      <c r="L9" s="6" t="str">
        <f aca="false">IF(Calc!B9=0,"",IF(Inputs!$B$6=0,"None",CHOOSE(Calc!D9+1,"Mon","Tue","Wed","Thu","Fri","Sat","Sun")&amp;" to "&amp;CHOOSE(MOD(Calc!D9+Inputs!$B$6-1,7)+1,"Mon","Tue","Wed","Thu","Fri","Sat","Sun")))</f>
        <v>Thu to Fri</v>
      </c>
    </row>
    <row r="10" customFormat="false" ht="15" hidden="false" customHeight="false" outlineLevel="0" collapsed="false">
      <c r="A10" s="6" t="n">
        <f aca="false">IF(Calc!B10=1,5,"")</f>
        <v>5</v>
      </c>
      <c r="B10" s="6" t="str">
        <f aca="false">IF(Calc!B10=0,"",IF(Inputs!B27&lt;&gt;"",Inputs!B27,"Agent "&amp;5))</f>
        <v>Agent 5</v>
      </c>
      <c r="C10" s="13" t="str">
        <f aca="false">IF(Calc!$B10=0,"",IF(Calc!F$3=0,"Closed",IF(Calc!F10=0,"Off",TEXT(MOD(Calc!T10,1),"h:mm AM/PM")&amp;IF(Calc!T10&gt;=1," (+1)","")&amp;" - "&amp;TEXT(MOD(Calc!AA10,1),"h:mm AM/PM")&amp;IF(Calc!AA10&gt;1," (+1)",""))))</f>
        <v>8:00 AM - 4:30 PM</v>
      </c>
      <c r="D10" s="13" t="str">
        <f aca="false">IF(Calc!$B10=0,"",IF(Calc!G$3=0,"Closed",IF(Calc!G10=0,"Off",TEXT(MOD(Calc!U10,1),"h:mm AM/PM")&amp;IF(Calc!U10&gt;=1," (+1)","")&amp;" - "&amp;TEXT(MOD(Calc!AB10,1),"h:mm AM/PM")&amp;IF(Calc!AB10&gt;1," (+1)",""))))</f>
        <v>8:00 AM - 4:30 PM</v>
      </c>
      <c r="E10" s="13" t="str">
        <f aca="false">IF(Calc!$B10=0,"",IF(Calc!H$3=0,"Closed",IF(Calc!H10=0,"Off",TEXT(MOD(Calc!V10,1),"h:mm AM/PM")&amp;IF(Calc!V10&gt;=1," (+1)","")&amp;" - "&amp;TEXT(MOD(Calc!AC10,1),"h:mm AM/PM")&amp;IF(Calc!AC10&gt;1," (+1)",""))))</f>
        <v>7:45 AM - 4:15 PM</v>
      </c>
      <c r="F10" s="13" t="str">
        <f aca="false">IF(Calc!$B10=0,"",IF(Calc!I$3=0,"Closed",IF(Calc!I10=0,"Off",TEXT(MOD(Calc!W10,1),"h:mm AM/PM")&amp;IF(Calc!W10&gt;=1," (+1)","")&amp;" - "&amp;TEXT(MOD(Calc!AD10,1),"h:mm AM/PM")&amp;IF(Calc!AD10&gt;1," (+1)",""))))</f>
        <v>7:15 AM - 3:45 PM</v>
      </c>
      <c r="G10" s="13" t="str">
        <f aca="false">IF(Calc!$B10=0,"",IF(Calc!J$3=0,"Closed",IF(Calc!J10=0,"Off",TEXT(MOD(Calc!X10,1),"h:mm AM/PM")&amp;IF(Calc!X10&gt;=1," (+1)","")&amp;" - "&amp;TEXT(MOD(Calc!AE10,1),"h:mm AM/PM")&amp;IF(Calc!AE10&gt;1," (+1)",""))))</f>
        <v>7:45 AM - 4:15 PM</v>
      </c>
      <c r="H10" s="13" t="str">
        <f aca="false">IF(Calc!$B10=0,"",IF(Calc!K$3=0,"Closed",IF(Calc!K10=0,"Off",TEXT(MOD(Calc!Y10,1),"h:mm AM/PM")&amp;IF(Calc!Y10&gt;=1," (+1)","")&amp;" - "&amp;TEXT(MOD(Calc!AF10,1),"h:mm AM/PM")&amp;IF(Calc!AF10&gt;1," (+1)",""))))</f>
        <v>Off</v>
      </c>
      <c r="I10" s="13" t="str">
        <f aca="false">IF(Calc!$B10=0,"",IF(Calc!L$3=0,"Closed",IF(Calc!L10=0,"Off",TEXT(MOD(Calc!Z10,1),"h:mm AM/PM")&amp;IF(Calc!Z10&gt;=1," (+1)","")&amp;" - "&amp;TEXT(MOD(Calc!AG10,1),"h:mm AM/PM")&amp;IF(Calc!AG10&gt;1," (+1)",""))))</f>
        <v>Off</v>
      </c>
      <c r="J10" s="12" t="n">
        <f aca="false">IF(Calc!B10=0,"",(SUM(Calc!AA10:AG10)-SUM(Calc!T10:Z10))*24)</f>
        <v>42.5</v>
      </c>
      <c r="K10" s="6" t="n">
        <f aca="false">IF(Calc!B10=0,"",SUM(Calc!F10:L10))</f>
        <v>5</v>
      </c>
      <c r="L10" s="6" t="str">
        <f aca="false">IF(Calc!B10=0,"",IF(Inputs!$B$6=0,"None",CHOOSE(Calc!D10+1,"Mon","Tue","Wed","Thu","Fri","Sat","Sun")&amp;" to "&amp;CHOOSE(MOD(Calc!D10+Inputs!$B$6-1,7)+1,"Mon","Tue","Wed","Thu","Fri","Sat","Sun")))</f>
        <v>Sat to Sun</v>
      </c>
    </row>
    <row r="11" customFormat="false" ht="15" hidden="false" customHeight="false" outlineLevel="0" collapsed="false">
      <c r="A11" s="6" t="n">
        <f aca="false">IF(Calc!B11=1,6,"")</f>
        <v>6</v>
      </c>
      <c r="B11" s="6" t="str">
        <f aca="false">IF(Calc!B11=0,"",IF(Inputs!B28&lt;&gt;"",Inputs!B28,"Agent "&amp;6))</f>
        <v>Agent 6</v>
      </c>
      <c r="C11" s="13" t="str">
        <f aca="false">IF(Calc!$B11=0,"",IF(Calc!F$3=0,"Closed",IF(Calc!F11=0,"Off",TEXT(MOD(Calc!T11,1),"h:mm AM/PM")&amp;IF(Calc!T11&gt;=1," (+1)","")&amp;" - "&amp;TEXT(MOD(Calc!AA11,1),"h:mm AM/PM")&amp;IF(Calc!AA11&gt;1," (+1)",""))))</f>
        <v>Off</v>
      </c>
      <c r="D11" s="13" t="str">
        <f aca="false">IF(Calc!$B11=0,"",IF(Calc!G$3=0,"Closed",IF(Calc!G11=0,"Off",TEXT(MOD(Calc!U11,1),"h:mm AM/PM")&amp;IF(Calc!U11&gt;=1," (+1)","")&amp;" - "&amp;TEXT(MOD(Calc!AB11,1),"h:mm AM/PM")&amp;IF(Calc!AB11&gt;1," (+1)",""))))</f>
        <v>Off</v>
      </c>
      <c r="E11" s="13" t="str">
        <f aca="false">IF(Calc!$B11=0,"",IF(Calc!H$3=0,"Closed",IF(Calc!H11=0,"Off",TEXT(MOD(Calc!V11,1),"h:mm AM/PM")&amp;IF(Calc!V11&gt;=1," (+1)","")&amp;" - "&amp;TEXT(MOD(Calc!AC11,1),"h:mm AM/PM")&amp;IF(Calc!AC11&gt;1," (+1)",""))))</f>
        <v>8:15 AM - 4:45 PM</v>
      </c>
      <c r="F11" s="13" t="str">
        <f aca="false">IF(Calc!$B11=0,"",IF(Calc!I$3=0,"Closed",IF(Calc!I11=0,"Off",TEXT(MOD(Calc!W11,1),"h:mm AM/PM")&amp;IF(Calc!W11&gt;=1," (+1)","")&amp;" - "&amp;TEXT(MOD(Calc!AD11,1),"h:mm AM/PM")&amp;IF(Calc!AD11&gt;1," (+1)",""))))</f>
        <v>8:00 AM - 4:30 PM</v>
      </c>
      <c r="G11" s="13" t="str">
        <f aca="false">IF(Calc!$B11=0,"",IF(Calc!J$3=0,"Closed",IF(Calc!J11=0,"Off",TEXT(MOD(Calc!X11,1),"h:mm AM/PM")&amp;IF(Calc!X11&gt;=1," (+1)","")&amp;" - "&amp;TEXT(MOD(Calc!AE11,1),"h:mm AM/PM")&amp;IF(Calc!AE11&gt;1," (+1)",""))))</f>
        <v>8:15 AM - 4:45 PM</v>
      </c>
      <c r="H11" s="13" t="str">
        <f aca="false">IF(Calc!$B11=0,"",IF(Calc!K$3=0,"Closed",IF(Calc!K11=0,"Off",TEXT(MOD(Calc!Y11,1),"h:mm AM/PM")&amp;IF(Calc!Y11&gt;=1," (+1)","")&amp;" - "&amp;TEXT(MOD(Calc!AF11,1),"h:mm AM/PM")&amp;IF(Calc!AF11&gt;1," (+1)",""))))</f>
        <v>8:00 AM - 4:30 PM</v>
      </c>
      <c r="I11" s="13" t="str">
        <f aca="false">IF(Calc!$B11=0,"",IF(Calc!L$3=0,"Closed",IF(Calc!L11=0,"Off",TEXT(MOD(Calc!Z11,1),"h:mm AM/PM")&amp;IF(Calc!Z11&gt;=1," (+1)","")&amp;" - "&amp;TEXT(MOD(Calc!AG11,1),"h:mm AM/PM")&amp;IF(Calc!AG11&gt;1," (+1)",""))))</f>
        <v>8:30 AM - 5:00 PM</v>
      </c>
      <c r="J11" s="12" t="n">
        <f aca="false">IF(Calc!B11=0,"",(SUM(Calc!AA11:AG11)-SUM(Calc!T11:Z11))*24)</f>
        <v>42.5</v>
      </c>
      <c r="K11" s="6" t="n">
        <f aca="false">IF(Calc!B11=0,"",SUM(Calc!F11:L11))</f>
        <v>5</v>
      </c>
      <c r="L11" s="6" t="str">
        <f aca="false">IF(Calc!B11=0,"",IF(Inputs!$B$6=0,"None",CHOOSE(Calc!D11+1,"Mon","Tue","Wed","Thu","Fri","Sat","Sun")&amp;" to "&amp;CHOOSE(MOD(Calc!D11+Inputs!$B$6-1,7)+1,"Mon","Tue","Wed","Thu","Fri","Sat","Sun")))</f>
        <v>Mon to Tue</v>
      </c>
    </row>
    <row r="12" customFormat="false" ht="15" hidden="false" customHeight="false" outlineLevel="0" collapsed="false">
      <c r="A12" s="6" t="n">
        <f aca="false">IF(Calc!B12=1,7,"")</f>
        <v>7</v>
      </c>
      <c r="B12" s="6" t="str">
        <f aca="false">IF(Calc!B12=0,"",IF(Inputs!B29&lt;&gt;"",Inputs!B29,"Agent "&amp;7))</f>
        <v>Agent 7</v>
      </c>
      <c r="C12" s="13" t="str">
        <f aca="false">IF(Calc!$B12=0,"",IF(Calc!F$3=0,"Closed",IF(Calc!F12=0,"Off",TEXT(MOD(Calc!T12,1),"h:mm AM/PM")&amp;IF(Calc!T12&gt;=1," (+1)","")&amp;" - "&amp;TEXT(MOD(Calc!AA12,1),"h:mm AM/PM")&amp;IF(Calc!AA12&gt;1," (+1)",""))))</f>
        <v>8:45 AM - 5:15 PM</v>
      </c>
      <c r="D12" s="13" t="str">
        <f aca="false">IF(Calc!$B12=0,"",IF(Calc!G$3=0,"Closed",IF(Calc!G12=0,"Off",TEXT(MOD(Calc!U12,1),"h:mm AM/PM")&amp;IF(Calc!U12&gt;=1," (+1)","")&amp;" - "&amp;TEXT(MOD(Calc!AB12,1),"h:mm AM/PM")&amp;IF(Calc!AB12&gt;1," (+1)",""))))</f>
        <v>Off</v>
      </c>
      <c r="E12" s="13" t="str">
        <f aca="false">IF(Calc!$B12=0,"",IF(Calc!H$3=0,"Closed",IF(Calc!H12=0,"Off",TEXT(MOD(Calc!V12,1),"h:mm AM/PM")&amp;IF(Calc!V12&gt;=1," (+1)","")&amp;" - "&amp;TEXT(MOD(Calc!AC12,1),"h:mm AM/PM")&amp;IF(Calc!AC12&gt;1," (+1)",""))))</f>
        <v>Off</v>
      </c>
      <c r="F12" s="13" t="str">
        <f aca="false">IF(Calc!$B12=0,"",IF(Calc!I$3=0,"Closed",IF(Calc!I12=0,"Off",TEXT(MOD(Calc!W12,1),"h:mm AM/PM")&amp;IF(Calc!W12&gt;=1," (+1)","")&amp;" - "&amp;TEXT(MOD(Calc!AD12,1),"h:mm AM/PM")&amp;IF(Calc!AD12&gt;1," (+1)",""))))</f>
        <v>8:45 AM - 5:15 PM</v>
      </c>
      <c r="G12" s="13" t="str">
        <f aca="false">IF(Calc!$B12=0,"",IF(Calc!J$3=0,"Closed",IF(Calc!J12=0,"Off",TEXT(MOD(Calc!X12,1),"h:mm AM/PM")&amp;IF(Calc!X12&gt;=1," (+1)","")&amp;" - "&amp;TEXT(MOD(Calc!AE12,1),"h:mm AM/PM")&amp;IF(Calc!AE12&gt;1," (+1)",""))))</f>
        <v>8:45 AM - 5:15 PM</v>
      </c>
      <c r="H12" s="13" t="str">
        <f aca="false">IF(Calc!$B12=0,"",IF(Calc!K$3=0,"Closed",IF(Calc!K12=0,"Off",TEXT(MOD(Calc!Y12,1),"h:mm AM/PM")&amp;IF(Calc!Y12&gt;=1," (+1)","")&amp;" - "&amp;TEXT(MOD(Calc!AF12,1),"h:mm AM/PM")&amp;IF(Calc!AF12&gt;1," (+1)",""))))</f>
        <v>8:45 AM - 5:15 PM</v>
      </c>
      <c r="I12" s="13" t="str">
        <f aca="false">IF(Calc!$B12=0,"",IF(Calc!L$3=0,"Closed",IF(Calc!L12=0,"Off",TEXT(MOD(Calc!Z12,1),"h:mm AM/PM")&amp;IF(Calc!Z12&gt;=1," (+1)","")&amp;" - "&amp;TEXT(MOD(Calc!AG12,1),"h:mm AM/PM")&amp;IF(Calc!AG12&gt;1," (+1)",""))))</f>
        <v>9:15 AM - 5:45 PM</v>
      </c>
      <c r="J12" s="12" t="n">
        <f aca="false">IF(Calc!B12=0,"",(SUM(Calc!AA12:AG12)-SUM(Calc!T12:Z12))*24)</f>
        <v>42.5</v>
      </c>
      <c r="K12" s="6" t="n">
        <f aca="false">IF(Calc!B12=0,"",SUM(Calc!F12:L12))</f>
        <v>5</v>
      </c>
      <c r="L12" s="6" t="str">
        <f aca="false">IF(Calc!B12=0,"",IF(Inputs!$B$6=0,"None",CHOOSE(Calc!D12+1,"Mon","Tue","Wed","Thu","Fri","Sat","Sun")&amp;" to "&amp;CHOOSE(MOD(Calc!D12+Inputs!$B$6-1,7)+1,"Mon","Tue","Wed","Thu","Fri","Sat","Sun")))</f>
        <v>Tue to Wed</v>
      </c>
    </row>
    <row r="13" customFormat="false" ht="15" hidden="false" customHeight="false" outlineLevel="0" collapsed="false">
      <c r="A13" s="6" t="n">
        <f aca="false">IF(Calc!B13=1,8,"")</f>
        <v>8</v>
      </c>
      <c r="B13" s="6" t="str">
        <f aca="false">IF(Calc!B13=0,"",IF(Inputs!B30&lt;&gt;"",Inputs!B30,"Agent "&amp;8))</f>
        <v>Agent 8</v>
      </c>
      <c r="C13" s="13" t="str">
        <f aca="false">IF(Calc!$B13=0,"",IF(Calc!F$3=0,"Closed",IF(Calc!F13=0,"Off",TEXT(MOD(Calc!T13,1),"h:mm AM/PM")&amp;IF(Calc!T13&gt;=1," (+1)","")&amp;" - "&amp;TEXT(MOD(Calc!AA13,1),"h:mm AM/PM")&amp;IF(Calc!AA13&gt;1," (+1)",""))))</f>
        <v>9:15 AM - 5:45 PM</v>
      </c>
      <c r="D13" s="13" t="str">
        <f aca="false">IF(Calc!$B13=0,"",IF(Calc!G$3=0,"Closed",IF(Calc!G13=0,"Off",TEXT(MOD(Calc!U13,1),"h:mm AM/PM")&amp;IF(Calc!U13&gt;=1," (+1)","")&amp;" - "&amp;TEXT(MOD(Calc!AB13,1),"h:mm AM/PM")&amp;IF(Calc!AB13&gt;1," (+1)",""))))</f>
        <v>8:45 AM - 5:15 PM</v>
      </c>
      <c r="E13" s="13" t="str">
        <f aca="false">IF(Calc!$B13=0,"",IF(Calc!H$3=0,"Closed",IF(Calc!H13=0,"Off",TEXT(MOD(Calc!V13,1),"h:mm AM/PM")&amp;IF(Calc!V13&gt;=1," (+1)","")&amp;" - "&amp;TEXT(MOD(Calc!AC13,1),"h:mm AM/PM")&amp;IF(Calc!AC13&gt;1," (+1)",""))))</f>
        <v>8:45 AM - 5:15 PM</v>
      </c>
      <c r="F13" s="13" t="str">
        <f aca="false">IF(Calc!$B13=0,"",IF(Calc!I$3=0,"Closed",IF(Calc!I13=0,"Off",TEXT(MOD(Calc!W13,1),"h:mm AM/PM")&amp;IF(Calc!W13&gt;=1," (+1)","")&amp;" - "&amp;TEXT(MOD(Calc!AD13,1),"h:mm AM/PM")&amp;IF(Calc!AD13&gt;1," (+1)",""))))</f>
        <v>Off</v>
      </c>
      <c r="G13" s="13" t="str">
        <f aca="false">IF(Calc!$B13=0,"",IF(Calc!J$3=0,"Closed",IF(Calc!J13=0,"Off",TEXT(MOD(Calc!X13,1),"h:mm AM/PM")&amp;IF(Calc!X13&gt;=1," (+1)","")&amp;" - "&amp;TEXT(MOD(Calc!AE13,1),"h:mm AM/PM")&amp;IF(Calc!AE13&gt;1," (+1)",""))))</f>
        <v>Off</v>
      </c>
      <c r="H13" s="13" t="str">
        <f aca="false">IF(Calc!$B13=0,"",IF(Calc!K$3=0,"Closed",IF(Calc!K13=0,"Off",TEXT(MOD(Calc!Y13,1),"h:mm AM/PM")&amp;IF(Calc!Y13&gt;=1," (+1)","")&amp;" - "&amp;TEXT(MOD(Calc!AF13,1),"h:mm AM/PM")&amp;IF(Calc!AF13&gt;1," (+1)",""))))</f>
        <v>9:15 AM - 5:45 PM</v>
      </c>
      <c r="I13" s="13" t="str">
        <f aca="false">IF(Calc!$B13=0,"",IF(Calc!L$3=0,"Closed",IF(Calc!L13=0,"Off",TEXT(MOD(Calc!Z13,1),"h:mm AM/PM")&amp;IF(Calc!Z13&gt;=1," (+1)","")&amp;" - "&amp;TEXT(MOD(Calc!AG13,1),"h:mm AM/PM")&amp;IF(Calc!AG13&gt;1," (+1)",""))))</f>
        <v>10:00 AM - 6:30 PM</v>
      </c>
      <c r="J13" s="12" t="n">
        <f aca="false">IF(Calc!B13=0,"",(SUM(Calc!AA13:AG13)-SUM(Calc!T13:Z13))*24)</f>
        <v>42.5</v>
      </c>
      <c r="K13" s="6" t="n">
        <f aca="false">IF(Calc!B13=0,"",SUM(Calc!F13:L13))</f>
        <v>5</v>
      </c>
      <c r="L13" s="6" t="str">
        <f aca="false">IF(Calc!B13=0,"",IF(Inputs!$B$6=0,"None",CHOOSE(Calc!D13+1,"Mon","Tue","Wed","Thu","Fri","Sat","Sun")&amp;" to "&amp;CHOOSE(MOD(Calc!D13+Inputs!$B$6-1,7)+1,"Mon","Tue","Wed","Thu","Fri","Sat","Sun")))</f>
        <v>Thu to Fri</v>
      </c>
    </row>
    <row r="14" customFormat="false" ht="15" hidden="false" customHeight="false" outlineLevel="0" collapsed="false">
      <c r="A14" s="6" t="n">
        <f aca="false">IF(Calc!B14=1,9,"")</f>
        <v>9</v>
      </c>
      <c r="B14" s="6" t="str">
        <f aca="false">IF(Calc!B14=0,"",IF(Inputs!B31&lt;&gt;"",Inputs!B31,"Agent "&amp;9))</f>
        <v>Agent 9</v>
      </c>
      <c r="C14" s="13" t="str">
        <f aca="false">IF(Calc!$B14=0,"",IF(Calc!F$3=0,"Closed",IF(Calc!F14=0,"Off",TEXT(MOD(Calc!T14,1),"h:mm AM/PM")&amp;IF(Calc!T14&gt;=1," (+1)","")&amp;" - "&amp;TEXT(MOD(Calc!AA14,1),"h:mm AM/PM")&amp;IF(Calc!AA14&gt;1," (+1)",""))))</f>
        <v>10:00 AM - 6:30 PM</v>
      </c>
      <c r="D14" s="13" t="str">
        <f aca="false">IF(Calc!$B14=0,"",IF(Calc!G$3=0,"Closed",IF(Calc!G14=0,"Off",TEXT(MOD(Calc!U14,1),"h:mm AM/PM")&amp;IF(Calc!U14&gt;=1," (+1)","")&amp;" - "&amp;TEXT(MOD(Calc!AB14,1),"h:mm AM/PM")&amp;IF(Calc!AB14&gt;1," (+1)",""))))</f>
        <v>9:15 AM - 5:45 PM</v>
      </c>
      <c r="E14" s="13" t="str">
        <f aca="false">IF(Calc!$B14=0,"",IF(Calc!H$3=0,"Closed",IF(Calc!H14=0,"Off",TEXT(MOD(Calc!V14,1),"h:mm AM/PM")&amp;IF(Calc!V14&gt;=1," (+1)","")&amp;" - "&amp;TEXT(MOD(Calc!AC14,1),"h:mm AM/PM")&amp;IF(Calc!AC14&gt;1," (+1)",""))))</f>
        <v>9:30 AM - 6:00 PM</v>
      </c>
      <c r="F14" s="13" t="str">
        <f aca="false">IF(Calc!$B14=0,"",IF(Calc!I$3=0,"Closed",IF(Calc!I14=0,"Off",TEXT(MOD(Calc!W14,1),"h:mm AM/PM")&amp;IF(Calc!W14&gt;=1," (+1)","")&amp;" - "&amp;TEXT(MOD(Calc!AD14,1),"h:mm AM/PM")&amp;IF(Calc!AD14&gt;1," (+1)",""))))</f>
        <v>9:15 AM - 5:45 PM</v>
      </c>
      <c r="G14" s="13" t="str">
        <f aca="false">IF(Calc!$B14=0,"",IF(Calc!J$3=0,"Closed",IF(Calc!J14=0,"Off",TEXT(MOD(Calc!X14,1),"h:mm AM/PM")&amp;IF(Calc!X14&gt;=1," (+1)","")&amp;" - "&amp;TEXT(MOD(Calc!AE14,1),"h:mm AM/PM")&amp;IF(Calc!AE14&gt;1," (+1)",""))))</f>
        <v>9:30 AM - 6:00 PM</v>
      </c>
      <c r="H14" s="13" t="str">
        <f aca="false">IF(Calc!$B14=0,"",IF(Calc!K$3=0,"Closed",IF(Calc!K14=0,"Off",TEXT(MOD(Calc!Y14,1),"h:mm AM/PM")&amp;IF(Calc!Y14&gt;=1," (+1)","")&amp;" - "&amp;TEXT(MOD(Calc!AF14,1),"h:mm AM/PM")&amp;IF(Calc!AF14&gt;1," (+1)",""))))</f>
        <v>Off</v>
      </c>
      <c r="I14" s="13" t="str">
        <f aca="false">IF(Calc!$B14=0,"",IF(Calc!L$3=0,"Closed",IF(Calc!L14=0,"Off",TEXT(MOD(Calc!Z14,1),"h:mm AM/PM")&amp;IF(Calc!Z14&gt;=1," (+1)","")&amp;" - "&amp;TEXT(MOD(Calc!AG14,1),"h:mm AM/PM")&amp;IF(Calc!AG14&gt;1," (+1)",""))))</f>
        <v>Off</v>
      </c>
      <c r="J14" s="12" t="n">
        <f aca="false">IF(Calc!B14=0,"",(SUM(Calc!AA14:AG14)-SUM(Calc!T14:Z14))*24)</f>
        <v>42.5</v>
      </c>
      <c r="K14" s="6" t="n">
        <f aca="false">IF(Calc!B14=0,"",SUM(Calc!F14:L14))</f>
        <v>5</v>
      </c>
      <c r="L14" s="6" t="str">
        <f aca="false">IF(Calc!B14=0,"",IF(Inputs!$B$6=0,"None",CHOOSE(Calc!D14+1,"Mon","Tue","Wed","Thu","Fri","Sat","Sun")&amp;" to "&amp;CHOOSE(MOD(Calc!D14+Inputs!$B$6-1,7)+1,"Mon","Tue","Wed","Thu","Fri","Sat","Sun")))</f>
        <v>Sat to Sun</v>
      </c>
    </row>
    <row r="15" customFormat="false" ht="15" hidden="false" customHeight="false" outlineLevel="0" collapsed="false">
      <c r="A15" s="6" t="n">
        <f aca="false">IF(Calc!B15=1,10,"")</f>
        <v>10</v>
      </c>
      <c r="B15" s="6" t="str">
        <f aca="false">IF(Calc!B15=0,"",IF(Inputs!B32&lt;&gt;"",Inputs!B32,"Agent "&amp;10))</f>
        <v>Agent 10</v>
      </c>
      <c r="C15" s="13" t="str">
        <f aca="false">IF(Calc!$B15=0,"",IF(Calc!F$3=0,"Closed",IF(Calc!F15=0,"Off",TEXT(MOD(Calc!T15,1),"h:mm AM/PM")&amp;IF(Calc!T15&gt;=1," (+1)","")&amp;" - "&amp;TEXT(MOD(Calc!AA15,1),"h:mm AM/PM")&amp;IF(Calc!AA15&gt;1," (+1)",""))))</f>
        <v>Off</v>
      </c>
      <c r="D15" s="13" t="str">
        <f aca="false">IF(Calc!$B15=0,"",IF(Calc!G$3=0,"Closed",IF(Calc!G15=0,"Off",TEXT(MOD(Calc!U15,1),"h:mm AM/PM")&amp;IF(Calc!U15&gt;=1," (+1)","")&amp;" - "&amp;TEXT(MOD(Calc!AB15,1),"h:mm AM/PM")&amp;IF(Calc!AB15&gt;1," (+1)",""))))</f>
        <v>10:00 AM - 6:30 PM</v>
      </c>
      <c r="E15" s="13" t="str">
        <f aca="false">IF(Calc!$B15=0,"",IF(Calc!H$3=0,"Closed",IF(Calc!H15=0,"Off",TEXT(MOD(Calc!V15,1),"h:mm AM/PM")&amp;IF(Calc!V15&gt;=1," (+1)","")&amp;" - "&amp;TEXT(MOD(Calc!AC15,1),"h:mm AM/PM")&amp;IF(Calc!AC15&gt;1," (+1)",""))))</f>
        <v>10:00 AM - 6:30 PM</v>
      </c>
      <c r="F15" s="13" t="str">
        <f aca="false">IF(Calc!$B15=0,"",IF(Calc!I$3=0,"Closed",IF(Calc!I15=0,"Off",TEXT(MOD(Calc!W15,1),"h:mm AM/PM")&amp;IF(Calc!W15&gt;=1," (+1)","")&amp;" - "&amp;TEXT(MOD(Calc!AD15,1),"h:mm AM/PM")&amp;IF(Calc!AD15&gt;1," (+1)",""))))</f>
        <v>10:00 AM - 6:30 PM</v>
      </c>
      <c r="G15" s="13" t="str">
        <f aca="false">IF(Calc!$B15=0,"",IF(Calc!J$3=0,"Closed",IF(Calc!J15=0,"Off",TEXT(MOD(Calc!X15,1),"h:mm AM/PM")&amp;IF(Calc!X15&gt;=1," (+1)","")&amp;" - "&amp;TEXT(MOD(Calc!AE15,1),"h:mm AM/PM")&amp;IF(Calc!AE15&gt;1," (+1)",""))))</f>
        <v>10:00 AM - 6:30 PM</v>
      </c>
      <c r="H15" s="13" t="str">
        <f aca="false">IF(Calc!$B15=0,"",IF(Calc!K$3=0,"Closed",IF(Calc!K15=0,"Off",TEXT(MOD(Calc!Y15,1),"h:mm AM/PM")&amp;IF(Calc!Y15&gt;=1," (+1)","")&amp;" - "&amp;TEXT(MOD(Calc!AF15,1),"h:mm AM/PM")&amp;IF(Calc!AF15&gt;1," (+1)",""))))</f>
        <v>10:00 AM - 6:30 PM</v>
      </c>
      <c r="I15" s="13" t="str">
        <f aca="false">IF(Calc!$B15=0,"",IF(Calc!L$3=0,"Closed",IF(Calc!L15=0,"Off",TEXT(MOD(Calc!Z15,1),"h:mm AM/PM")&amp;IF(Calc!Z15&gt;=1," (+1)","")&amp;" - "&amp;TEXT(MOD(Calc!AG15,1),"h:mm AM/PM")&amp;IF(Calc!AG15&gt;1," (+1)",""))))</f>
        <v>Off</v>
      </c>
      <c r="J15" s="12" t="n">
        <f aca="false">IF(Calc!B15=0,"",(SUM(Calc!AA15:AG15)-SUM(Calc!T15:Z15))*24)</f>
        <v>42.5</v>
      </c>
      <c r="K15" s="6" t="n">
        <f aca="false">IF(Calc!B15=0,"",SUM(Calc!F15:L15))</f>
        <v>5</v>
      </c>
      <c r="L15" s="6" t="str">
        <f aca="false">IF(Calc!B15=0,"",IF(Inputs!$B$6=0,"None",CHOOSE(Calc!D15+1,"Mon","Tue","Wed","Thu","Fri","Sat","Sun")&amp;" to "&amp;CHOOSE(MOD(Calc!D15+Inputs!$B$6-1,7)+1,"Mon","Tue","Wed","Thu","Fri","Sat","Sun")))</f>
        <v>Sun to Mon</v>
      </c>
    </row>
    <row r="16" customFormat="false" ht="15" hidden="false" customHeight="false" outlineLevel="0" collapsed="false">
      <c r="A16" s="6" t="str">
        <f aca="false">IF(Calc!B16=1,11,"")</f>
        <v/>
      </c>
      <c r="B16" s="6" t="str">
        <f aca="false">IF(Calc!B16=0,"",IF(Inputs!B33&lt;&gt;"",Inputs!B33,"Agent "&amp;11))</f>
        <v/>
      </c>
      <c r="C16" s="13" t="str">
        <f aca="false">IF(Calc!$B16=0,"",IF(Calc!F$3=0,"Closed",IF(Calc!F16=0,"Off",TEXT(MOD(Calc!T16,1),"h:mm AM/PM")&amp;IF(Calc!T16&gt;=1," (+1)","")&amp;" - "&amp;TEXT(MOD(Calc!AA16,1),"h:mm AM/PM")&amp;IF(Calc!AA16&gt;1," (+1)",""))))</f>
        <v/>
      </c>
      <c r="D16" s="13" t="str">
        <f aca="false">IF(Calc!$B16=0,"",IF(Calc!G$3=0,"Closed",IF(Calc!G16=0,"Off",TEXT(MOD(Calc!U16,1),"h:mm AM/PM")&amp;IF(Calc!U16&gt;=1," (+1)","")&amp;" - "&amp;TEXT(MOD(Calc!AB16,1),"h:mm AM/PM")&amp;IF(Calc!AB16&gt;1," (+1)",""))))</f>
        <v/>
      </c>
      <c r="E16" s="13" t="str">
        <f aca="false">IF(Calc!$B16=0,"",IF(Calc!H$3=0,"Closed",IF(Calc!H16=0,"Off",TEXT(MOD(Calc!V16,1),"h:mm AM/PM")&amp;IF(Calc!V16&gt;=1," (+1)","")&amp;" - "&amp;TEXT(MOD(Calc!AC16,1),"h:mm AM/PM")&amp;IF(Calc!AC16&gt;1," (+1)",""))))</f>
        <v/>
      </c>
      <c r="F16" s="13" t="str">
        <f aca="false">IF(Calc!$B16=0,"",IF(Calc!I$3=0,"Closed",IF(Calc!I16=0,"Off",TEXT(MOD(Calc!W16,1),"h:mm AM/PM")&amp;IF(Calc!W16&gt;=1," (+1)","")&amp;" - "&amp;TEXT(MOD(Calc!AD16,1),"h:mm AM/PM")&amp;IF(Calc!AD16&gt;1," (+1)",""))))</f>
        <v/>
      </c>
      <c r="G16" s="13" t="str">
        <f aca="false">IF(Calc!$B16=0,"",IF(Calc!J$3=0,"Closed",IF(Calc!J16=0,"Off",TEXT(MOD(Calc!X16,1),"h:mm AM/PM")&amp;IF(Calc!X16&gt;=1," (+1)","")&amp;" - "&amp;TEXT(MOD(Calc!AE16,1),"h:mm AM/PM")&amp;IF(Calc!AE16&gt;1," (+1)",""))))</f>
        <v/>
      </c>
      <c r="H16" s="13" t="str">
        <f aca="false">IF(Calc!$B16=0,"",IF(Calc!K$3=0,"Closed",IF(Calc!K16=0,"Off",TEXT(MOD(Calc!Y16,1),"h:mm AM/PM")&amp;IF(Calc!Y16&gt;=1," (+1)","")&amp;" - "&amp;TEXT(MOD(Calc!AF16,1),"h:mm AM/PM")&amp;IF(Calc!AF16&gt;1," (+1)",""))))</f>
        <v/>
      </c>
      <c r="I16" s="13" t="str">
        <f aca="false">IF(Calc!$B16=0,"",IF(Calc!L$3=0,"Closed",IF(Calc!L16=0,"Off",TEXT(MOD(Calc!Z16,1),"h:mm AM/PM")&amp;IF(Calc!Z16&gt;=1," (+1)","")&amp;" - "&amp;TEXT(MOD(Calc!AG16,1),"h:mm AM/PM")&amp;IF(Calc!AG16&gt;1," (+1)",""))))</f>
        <v/>
      </c>
      <c r="J16" s="12" t="str">
        <f aca="false">IF(Calc!B16=0,"",(SUM(Calc!AA16:AG16)-SUM(Calc!T16:Z16))*24)</f>
        <v/>
      </c>
      <c r="K16" s="6" t="str">
        <f aca="false">IF(Calc!B16=0,"",SUM(Calc!F16:L16))</f>
        <v/>
      </c>
      <c r="L16" s="6" t="str">
        <f aca="false">IF(Calc!B16=0,"",IF(Inputs!$B$6=0,"None",CHOOSE(Calc!D16+1,"Mon","Tue","Wed","Thu","Fri","Sat","Sun")&amp;" to "&amp;CHOOSE(MOD(Calc!D16+Inputs!$B$6-1,7)+1,"Mon","Tue","Wed","Thu","Fri","Sat","Sun")))</f>
        <v/>
      </c>
    </row>
    <row r="17" customFormat="false" ht="15" hidden="false" customHeight="false" outlineLevel="0" collapsed="false">
      <c r="A17" s="6" t="str">
        <f aca="false">IF(Calc!B17=1,12,"")</f>
        <v/>
      </c>
      <c r="B17" s="6" t="str">
        <f aca="false">IF(Calc!B17=0,"",IF(Inputs!B34&lt;&gt;"",Inputs!B34,"Agent "&amp;12))</f>
        <v/>
      </c>
      <c r="C17" s="13" t="str">
        <f aca="false">IF(Calc!$B17=0,"",IF(Calc!F$3=0,"Closed",IF(Calc!F17=0,"Off",TEXT(MOD(Calc!T17,1),"h:mm AM/PM")&amp;IF(Calc!T17&gt;=1," (+1)","")&amp;" - "&amp;TEXT(MOD(Calc!AA17,1),"h:mm AM/PM")&amp;IF(Calc!AA17&gt;1," (+1)",""))))</f>
        <v/>
      </c>
      <c r="D17" s="13" t="str">
        <f aca="false">IF(Calc!$B17=0,"",IF(Calc!G$3=0,"Closed",IF(Calc!G17=0,"Off",TEXT(MOD(Calc!U17,1),"h:mm AM/PM")&amp;IF(Calc!U17&gt;=1," (+1)","")&amp;" - "&amp;TEXT(MOD(Calc!AB17,1),"h:mm AM/PM")&amp;IF(Calc!AB17&gt;1," (+1)",""))))</f>
        <v/>
      </c>
      <c r="E17" s="13" t="str">
        <f aca="false">IF(Calc!$B17=0,"",IF(Calc!H$3=0,"Closed",IF(Calc!H17=0,"Off",TEXT(MOD(Calc!V17,1),"h:mm AM/PM")&amp;IF(Calc!V17&gt;=1," (+1)","")&amp;" - "&amp;TEXT(MOD(Calc!AC17,1),"h:mm AM/PM")&amp;IF(Calc!AC17&gt;1," (+1)",""))))</f>
        <v/>
      </c>
      <c r="F17" s="13" t="str">
        <f aca="false">IF(Calc!$B17=0,"",IF(Calc!I$3=0,"Closed",IF(Calc!I17=0,"Off",TEXT(MOD(Calc!W17,1),"h:mm AM/PM")&amp;IF(Calc!W17&gt;=1," (+1)","")&amp;" - "&amp;TEXT(MOD(Calc!AD17,1),"h:mm AM/PM")&amp;IF(Calc!AD17&gt;1," (+1)",""))))</f>
        <v/>
      </c>
      <c r="G17" s="13" t="str">
        <f aca="false">IF(Calc!$B17=0,"",IF(Calc!J$3=0,"Closed",IF(Calc!J17=0,"Off",TEXT(MOD(Calc!X17,1),"h:mm AM/PM")&amp;IF(Calc!X17&gt;=1," (+1)","")&amp;" - "&amp;TEXT(MOD(Calc!AE17,1),"h:mm AM/PM")&amp;IF(Calc!AE17&gt;1," (+1)",""))))</f>
        <v/>
      </c>
      <c r="H17" s="13" t="str">
        <f aca="false">IF(Calc!$B17=0,"",IF(Calc!K$3=0,"Closed",IF(Calc!K17=0,"Off",TEXT(MOD(Calc!Y17,1),"h:mm AM/PM")&amp;IF(Calc!Y17&gt;=1," (+1)","")&amp;" - "&amp;TEXT(MOD(Calc!AF17,1),"h:mm AM/PM")&amp;IF(Calc!AF17&gt;1," (+1)",""))))</f>
        <v/>
      </c>
      <c r="I17" s="13" t="str">
        <f aca="false">IF(Calc!$B17=0,"",IF(Calc!L$3=0,"Closed",IF(Calc!L17=0,"Off",TEXT(MOD(Calc!Z17,1),"h:mm AM/PM")&amp;IF(Calc!Z17&gt;=1," (+1)","")&amp;" - "&amp;TEXT(MOD(Calc!AG17,1),"h:mm AM/PM")&amp;IF(Calc!AG17&gt;1," (+1)",""))))</f>
        <v/>
      </c>
      <c r="J17" s="12" t="str">
        <f aca="false">IF(Calc!B17=0,"",(SUM(Calc!AA17:AG17)-SUM(Calc!T17:Z17))*24)</f>
        <v/>
      </c>
      <c r="K17" s="6" t="str">
        <f aca="false">IF(Calc!B17=0,"",SUM(Calc!F17:L17))</f>
        <v/>
      </c>
      <c r="L17" s="6" t="str">
        <f aca="false">IF(Calc!B17=0,"",IF(Inputs!$B$6=0,"None",CHOOSE(Calc!D17+1,"Mon","Tue","Wed","Thu","Fri","Sat","Sun")&amp;" to "&amp;CHOOSE(MOD(Calc!D17+Inputs!$B$6-1,7)+1,"Mon","Tue","Wed","Thu","Fri","Sat","Sun")))</f>
        <v/>
      </c>
    </row>
    <row r="18" customFormat="false" ht="15" hidden="false" customHeight="false" outlineLevel="0" collapsed="false">
      <c r="A18" s="6" t="str">
        <f aca="false">IF(Calc!B18=1,13,"")</f>
        <v/>
      </c>
      <c r="B18" s="6" t="str">
        <f aca="false">IF(Calc!B18=0,"",IF(Inputs!B35&lt;&gt;"",Inputs!B35,"Agent "&amp;13))</f>
        <v/>
      </c>
      <c r="C18" s="13" t="str">
        <f aca="false">IF(Calc!$B18=0,"",IF(Calc!F$3=0,"Closed",IF(Calc!F18=0,"Off",TEXT(MOD(Calc!T18,1),"h:mm AM/PM")&amp;IF(Calc!T18&gt;=1," (+1)","")&amp;" - "&amp;TEXT(MOD(Calc!AA18,1),"h:mm AM/PM")&amp;IF(Calc!AA18&gt;1," (+1)",""))))</f>
        <v/>
      </c>
      <c r="D18" s="13" t="str">
        <f aca="false">IF(Calc!$B18=0,"",IF(Calc!G$3=0,"Closed",IF(Calc!G18=0,"Off",TEXT(MOD(Calc!U18,1),"h:mm AM/PM")&amp;IF(Calc!U18&gt;=1," (+1)","")&amp;" - "&amp;TEXT(MOD(Calc!AB18,1),"h:mm AM/PM")&amp;IF(Calc!AB18&gt;1," (+1)",""))))</f>
        <v/>
      </c>
      <c r="E18" s="13" t="str">
        <f aca="false">IF(Calc!$B18=0,"",IF(Calc!H$3=0,"Closed",IF(Calc!H18=0,"Off",TEXT(MOD(Calc!V18,1),"h:mm AM/PM")&amp;IF(Calc!V18&gt;=1," (+1)","")&amp;" - "&amp;TEXT(MOD(Calc!AC18,1),"h:mm AM/PM")&amp;IF(Calc!AC18&gt;1," (+1)",""))))</f>
        <v/>
      </c>
      <c r="F18" s="13" t="str">
        <f aca="false">IF(Calc!$B18=0,"",IF(Calc!I$3=0,"Closed",IF(Calc!I18=0,"Off",TEXT(MOD(Calc!W18,1),"h:mm AM/PM")&amp;IF(Calc!W18&gt;=1," (+1)","")&amp;" - "&amp;TEXT(MOD(Calc!AD18,1),"h:mm AM/PM")&amp;IF(Calc!AD18&gt;1," (+1)",""))))</f>
        <v/>
      </c>
      <c r="G18" s="13" t="str">
        <f aca="false">IF(Calc!$B18=0,"",IF(Calc!J$3=0,"Closed",IF(Calc!J18=0,"Off",TEXT(MOD(Calc!X18,1),"h:mm AM/PM")&amp;IF(Calc!X18&gt;=1," (+1)","")&amp;" - "&amp;TEXT(MOD(Calc!AE18,1),"h:mm AM/PM")&amp;IF(Calc!AE18&gt;1," (+1)",""))))</f>
        <v/>
      </c>
      <c r="H18" s="13" t="str">
        <f aca="false">IF(Calc!$B18=0,"",IF(Calc!K$3=0,"Closed",IF(Calc!K18=0,"Off",TEXT(MOD(Calc!Y18,1),"h:mm AM/PM")&amp;IF(Calc!Y18&gt;=1," (+1)","")&amp;" - "&amp;TEXT(MOD(Calc!AF18,1),"h:mm AM/PM")&amp;IF(Calc!AF18&gt;1," (+1)",""))))</f>
        <v/>
      </c>
      <c r="I18" s="13" t="str">
        <f aca="false">IF(Calc!$B18=0,"",IF(Calc!L$3=0,"Closed",IF(Calc!L18=0,"Off",TEXT(MOD(Calc!Z18,1),"h:mm AM/PM")&amp;IF(Calc!Z18&gt;=1," (+1)","")&amp;" - "&amp;TEXT(MOD(Calc!AG18,1),"h:mm AM/PM")&amp;IF(Calc!AG18&gt;1," (+1)",""))))</f>
        <v/>
      </c>
      <c r="J18" s="12" t="str">
        <f aca="false">IF(Calc!B18=0,"",(SUM(Calc!AA18:AG18)-SUM(Calc!T18:Z18))*24)</f>
        <v/>
      </c>
      <c r="K18" s="6" t="str">
        <f aca="false">IF(Calc!B18=0,"",SUM(Calc!F18:L18))</f>
        <v/>
      </c>
      <c r="L18" s="6" t="str">
        <f aca="false">IF(Calc!B18=0,"",IF(Inputs!$B$6=0,"None",CHOOSE(Calc!D18+1,"Mon","Tue","Wed","Thu","Fri","Sat","Sun")&amp;" to "&amp;CHOOSE(MOD(Calc!D18+Inputs!$B$6-1,7)+1,"Mon","Tue","Wed","Thu","Fri","Sat","Sun")))</f>
        <v/>
      </c>
    </row>
    <row r="19" customFormat="false" ht="15" hidden="false" customHeight="false" outlineLevel="0" collapsed="false">
      <c r="A19" s="6" t="str">
        <f aca="false">IF(Calc!B19=1,14,"")</f>
        <v/>
      </c>
      <c r="B19" s="6" t="str">
        <f aca="false">IF(Calc!B19=0,"",IF(Inputs!B36&lt;&gt;"",Inputs!B36,"Agent "&amp;14))</f>
        <v/>
      </c>
      <c r="C19" s="13" t="str">
        <f aca="false">IF(Calc!$B19=0,"",IF(Calc!F$3=0,"Closed",IF(Calc!F19=0,"Off",TEXT(MOD(Calc!T19,1),"h:mm AM/PM")&amp;IF(Calc!T19&gt;=1," (+1)","")&amp;" - "&amp;TEXT(MOD(Calc!AA19,1),"h:mm AM/PM")&amp;IF(Calc!AA19&gt;1," (+1)",""))))</f>
        <v/>
      </c>
      <c r="D19" s="13" t="str">
        <f aca="false">IF(Calc!$B19=0,"",IF(Calc!G$3=0,"Closed",IF(Calc!G19=0,"Off",TEXT(MOD(Calc!U19,1),"h:mm AM/PM")&amp;IF(Calc!U19&gt;=1," (+1)","")&amp;" - "&amp;TEXT(MOD(Calc!AB19,1),"h:mm AM/PM")&amp;IF(Calc!AB19&gt;1," (+1)",""))))</f>
        <v/>
      </c>
      <c r="E19" s="13" t="str">
        <f aca="false">IF(Calc!$B19=0,"",IF(Calc!H$3=0,"Closed",IF(Calc!H19=0,"Off",TEXT(MOD(Calc!V19,1),"h:mm AM/PM")&amp;IF(Calc!V19&gt;=1," (+1)","")&amp;" - "&amp;TEXT(MOD(Calc!AC19,1),"h:mm AM/PM")&amp;IF(Calc!AC19&gt;1," (+1)",""))))</f>
        <v/>
      </c>
      <c r="F19" s="13" t="str">
        <f aca="false">IF(Calc!$B19=0,"",IF(Calc!I$3=0,"Closed",IF(Calc!I19=0,"Off",TEXT(MOD(Calc!W19,1),"h:mm AM/PM")&amp;IF(Calc!W19&gt;=1," (+1)","")&amp;" - "&amp;TEXT(MOD(Calc!AD19,1),"h:mm AM/PM")&amp;IF(Calc!AD19&gt;1," (+1)",""))))</f>
        <v/>
      </c>
      <c r="G19" s="13" t="str">
        <f aca="false">IF(Calc!$B19=0,"",IF(Calc!J$3=0,"Closed",IF(Calc!J19=0,"Off",TEXT(MOD(Calc!X19,1),"h:mm AM/PM")&amp;IF(Calc!X19&gt;=1," (+1)","")&amp;" - "&amp;TEXT(MOD(Calc!AE19,1),"h:mm AM/PM")&amp;IF(Calc!AE19&gt;1," (+1)",""))))</f>
        <v/>
      </c>
      <c r="H19" s="13" t="str">
        <f aca="false">IF(Calc!$B19=0,"",IF(Calc!K$3=0,"Closed",IF(Calc!K19=0,"Off",TEXT(MOD(Calc!Y19,1),"h:mm AM/PM")&amp;IF(Calc!Y19&gt;=1," (+1)","")&amp;" - "&amp;TEXT(MOD(Calc!AF19,1),"h:mm AM/PM")&amp;IF(Calc!AF19&gt;1," (+1)",""))))</f>
        <v/>
      </c>
      <c r="I19" s="13" t="str">
        <f aca="false">IF(Calc!$B19=0,"",IF(Calc!L$3=0,"Closed",IF(Calc!L19=0,"Off",TEXT(MOD(Calc!Z19,1),"h:mm AM/PM")&amp;IF(Calc!Z19&gt;=1," (+1)","")&amp;" - "&amp;TEXT(MOD(Calc!AG19,1),"h:mm AM/PM")&amp;IF(Calc!AG19&gt;1," (+1)",""))))</f>
        <v/>
      </c>
      <c r="J19" s="12" t="str">
        <f aca="false">IF(Calc!B19=0,"",(SUM(Calc!AA19:AG19)-SUM(Calc!T19:Z19))*24)</f>
        <v/>
      </c>
      <c r="K19" s="6" t="str">
        <f aca="false">IF(Calc!B19=0,"",SUM(Calc!F19:L19))</f>
        <v/>
      </c>
      <c r="L19" s="6" t="str">
        <f aca="false">IF(Calc!B19=0,"",IF(Inputs!$B$6=0,"None",CHOOSE(Calc!D19+1,"Mon","Tue","Wed","Thu","Fri","Sat","Sun")&amp;" to "&amp;CHOOSE(MOD(Calc!D19+Inputs!$B$6-1,7)+1,"Mon","Tue","Wed","Thu","Fri","Sat","Sun")))</f>
        <v/>
      </c>
    </row>
    <row r="20" customFormat="false" ht="15" hidden="false" customHeight="false" outlineLevel="0" collapsed="false">
      <c r="A20" s="6" t="str">
        <f aca="false">IF(Calc!B20=1,15,"")</f>
        <v/>
      </c>
      <c r="B20" s="6" t="str">
        <f aca="false">IF(Calc!B20=0,"",IF(Inputs!B37&lt;&gt;"",Inputs!B37,"Agent "&amp;15))</f>
        <v/>
      </c>
      <c r="C20" s="13" t="str">
        <f aca="false">IF(Calc!$B20=0,"",IF(Calc!F$3=0,"Closed",IF(Calc!F20=0,"Off",TEXT(MOD(Calc!T20,1),"h:mm AM/PM")&amp;IF(Calc!T20&gt;=1," (+1)","")&amp;" - "&amp;TEXT(MOD(Calc!AA20,1),"h:mm AM/PM")&amp;IF(Calc!AA20&gt;1," (+1)",""))))</f>
        <v/>
      </c>
      <c r="D20" s="13" t="str">
        <f aca="false">IF(Calc!$B20=0,"",IF(Calc!G$3=0,"Closed",IF(Calc!G20=0,"Off",TEXT(MOD(Calc!U20,1),"h:mm AM/PM")&amp;IF(Calc!U20&gt;=1," (+1)","")&amp;" - "&amp;TEXT(MOD(Calc!AB20,1),"h:mm AM/PM")&amp;IF(Calc!AB20&gt;1," (+1)",""))))</f>
        <v/>
      </c>
      <c r="E20" s="13" t="str">
        <f aca="false">IF(Calc!$B20=0,"",IF(Calc!H$3=0,"Closed",IF(Calc!H20=0,"Off",TEXT(MOD(Calc!V20,1),"h:mm AM/PM")&amp;IF(Calc!V20&gt;=1," (+1)","")&amp;" - "&amp;TEXT(MOD(Calc!AC20,1),"h:mm AM/PM")&amp;IF(Calc!AC20&gt;1," (+1)",""))))</f>
        <v/>
      </c>
      <c r="F20" s="13" t="str">
        <f aca="false">IF(Calc!$B20=0,"",IF(Calc!I$3=0,"Closed",IF(Calc!I20=0,"Off",TEXT(MOD(Calc!W20,1),"h:mm AM/PM")&amp;IF(Calc!W20&gt;=1," (+1)","")&amp;" - "&amp;TEXT(MOD(Calc!AD20,1),"h:mm AM/PM")&amp;IF(Calc!AD20&gt;1," (+1)",""))))</f>
        <v/>
      </c>
      <c r="G20" s="13" t="str">
        <f aca="false">IF(Calc!$B20=0,"",IF(Calc!J$3=0,"Closed",IF(Calc!J20=0,"Off",TEXT(MOD(Calc!X20,1),"h:mm AM/PM")&amp;IF(Calc!X20&gt;=1," (+1)","")&amp;" - "&amp;TEXT(MOD(Calc!AE20,1),"h:mm AM/PM")&amp;IF(Calc!AE20&gt;1," (+1)",""))))</f>
        <v/>
      </c>
      <c r="H20" s="13" t="str">
        <f aca="false">IF(Calc!$B20=0,"",IF(Calc!K$3=0,"Closed",IF(Calc!K20=0,"Off",TEXT(MOD(Calc!Y20,1),"h:mm AM/PM")&amp;IF(Calc!Y20&gt;=1," (+1)","")&amp;" - "&amp;TEXT(MOD(Calc!AF20,1),"h:mm AM/PM")&amp;IF(Calc!AF20&gt;1," (+1)",""))))</f>
        <v/>
      </c>
      <c r="I20" s="13" t="str">
        <f aca="false">IF(Calc!$B20=0,"",IF(Calc!L$3=0,"Closed",IF(Calc!L20=0,"Off",TEXT(MOD(Calc!Z20,1),"h:mm AM/PM")&amp;IF(Calc!Z20&gt;=1," (+1)","")&amp;" - "&amp;TEXT(MOD(Calc!AG20,1),"h:mm AM/PM")&amp;IF(Calc!AG20&gt;1," (+1)",""))))</f>
        <v/>
      </c>
      <c r="J20" s="12" t="str">
        <f aca="false">IF(Calc!B20=0,"",(SUM(Calc!AA20:AG20)-SUM(Calc!T20:Z20))*24)</f>
        <v/>
      </c>
      <c r="K20" s="6" t="str">
        <f aca="false">IF(Calc!B20=0,"",SUM(Calc!F20:L20))</f>
        <v/>
      </c>
      <c r="L20" s="6" t="str">
        <f aca="false">IF(Calc!B20=0,"",IF(Inputs!$B$6=0,"None",CHOOSE(Calc!D20+1,"Mon","Tue","Wed","Thu","Fri","Sat","Sun")&amp;" to "&amp;CHOOSE(MOD(Calc!D20+Inputs!$B$6-1,7)+1,"Mon","Tue","Wed","Thu","Fri","Sat","Sun")))</f>
        <v/>
      </c>
    </row>
    <row r="21" customFormat="false" ht="15" hidden="false" customHeight="false" outlineLevel="0" collapsed="false">
      <c r="A21" s="6" t="str">
        <f aca="false">IF(Calc!B21=1,16,"")</f>
        <v/>
      </c>
      <c r="B21" s="6" t="str">
        <f aca="false">IF(Calc!B21=0,"",IF(Inputs!B38&lt;&gt;"",Inputs!B38,"Agent "&amp;16))</f>
        <v/>
      </c>
      <c r="C21" s="13" t="str">
        <f aca="false">IF(Calc!$B21=0,"",IF(Calc!F$3=0,"Closed",IF(Calc!F21=0,"Off",TEXT(MOD(Calc!T21,1),"h:mm AM/PM")&amp;IF(Calc!T21&gt;=1," (+1)","")&amp;" - "&amp;TEXT(MOD(Calc!AA21,1),"h:mm AM/PM")&amp;IF(Calc!AA21&gt;1," (+1)",""))))</f>
        <v/>
      </c>
      <c r="D21" s="13" t="str">
        <f aca="false">IF(Calc!$B21=0,"",IF(Calc!G$3=0,"Closed",IF(Calc!G21=0,"Off",TEXT(MOD(Calc!U21,1),"h:mm AM/PM")&amp;IF(Calc!U21&gt;=1," (+1)","")&amp;" - "&amp;TEXT(MOD(Calc!AB21,1),"h:mm AM/PM")&amp;IF(Calc!AB21&gt;1," (+1)",""))))</f>
        <v/>
      </c>
      <c r="E21" s="13" t="str">
        <f aca="false">IF(Calc!$B21=0,"",IF(Calc!H$3=0,"Closed",IF(Calc!H21=0,"Off",TEXT(MOD(Calc!V21,1),"h:mm AM/PM")&amp;IF(Calc!V21&gt;=1," (+1)","")&amp;" - "&amp;TEXT(MOD(Calc!AC21,1),"h:mm AM/PM")&amp;IF(Calc!AC21&gt;1," (+1)",""))))</f>
        <v/>
      </c>
      <c r="F21" s="13" t="str">
        <f aca="false">IF(Calc!$B21=0,"",IF(Calc!I$3=0,"Closed",IF(Calc!I21=0,"Off",TEXT(MOD(Calc!W21,1),"h:mm AM/PM")&amp;IF(Calc!W21&gt;=1," (+1)","")&amp;" - "&amp;TEXT(MOD(Calc!AD21,1),"h:mm AM/PM")&amp;IF(Calc!AD21&gt;1," (+1)",""))))</f>
        <v/>
      </c>
      <c r="G21" s="13" t="str">
        <f aca="false">IF(Calc!$B21=0,"",IF(Calc!J$3=0,"Closed",IF(Calc!J21=0,"Off",TEXT(MOD(Calc!X21,1),"h:mm AM/PM")&amp;IF(Calc!X21&gt;=1," (+1)","")&amp;" - "&amp;TEXT(MOD(Calc!AE21,1),"h:mm AM/PM")&amp;IF(Calc!AE21&gt;1," (+1)",""))))</f>
        <v/>
      </c>
      <c r="H21" s="13" t="str">
        <f aca="false">IF(Calc!$B21=0,"",IF(Calc!K$3=0,"Closed",IF(Calc!K21=0,"Off",TEXT(MOD(Calc!Y21,1),"h:mm AM/PM")&amp;IF(Calc!Y21&gt;=1," (+1)","")&amp;" - "&amp;TEXT(MOD(Calc!AF21,1),"h:mm AM/PM")&amp;IF(Calc!AF21&gt;1," (+1)",""))))</f>
        <v/>
      </c>
      <c r="I21" s="13" t="str">
        <f aca="false">IF(Calc!$B21=0,"",IF(Calc!L$3=0,"Closed",IF(Calc!L21=0,"Off",TEXT(MOD(Calc!Z21,1),"h:mm AM/PM")&amp;IF(Calc!Z21&gt;=1," (+1)","")&amp;" - "&amp;TEXT(MOD(Calc!AG21,1),"h:mm AM/PM")&amp;IF(Calc!AG21&gt;1," (+1)",""))))</f>
        <v/>
      </c>
      <c r="J21" s="12" t="str">
        <f aca="false">IF(Calc!B21=0,"",(SUM(Calc!AA21:AG21)-SUM(Calc!T21:Z21))*24)</f>
        <v/>
      </c>
      <c r="K21" s="6" t="str">
        <f aca="false">IF(Calc!B21=0,"",SUM(Calc!F21:L21))</f>
        <v/>
      </c>
      <c r="L21" s="6" t="str">
        <f aca="false">IF(Calc!B21=0,"",IF(Inputs!$B$6=0,"None",CHOOSE(Calc!D21+1,"Mon","Tue","Wed","Thu","Fri","Sat","Sun")&amp;" to "&amp;CHOOSE(MOD(Calc!D21+Inputs!$B$6-1,7)+1,"Mon","Tue","Wed","Thu","Fri","Sat","Sun")))</f>
        <v/>
      </c>
    </row>
    <row r="22" customFormat="false" ht="15" hidden="false" customHeight="false" outlineLevel="0" collapsed="false">
      <c r="A22" s="6" t="str">
        <f aca="false">IF(Calc!B22=1,17,"")</f>
        <v/>
      </c>
      <c r="B22" s="6" t="str">
        <f aca="false">IF(Calc!B22=0,"",IF(Inputs!B39&lt;&gt;"",Inputs!B39,"Agent "&amp;17))</f>
        <v/>
      </c>
      <c r="C22" s="13" t="str">
        <f aca="false">IF(Calc!$B22=0,"",IF(Calc!F$3=0,"Closed",IF(Calc!F22=0,"Off",TEXT(MOD(Calc!T22,1),"h:mm AM/PM")&amp;IF(Calc!T22&gt;=1," (+1)","")&amp;" - "&amp;TEXT(MOD(Calc!AA22,1),"h:mm AM/PM")&amp;IF(Calc!AA22&gt;1," (+1)",""))))</f>
        <v/>
      </c>
      <c r="D22" s="13" t="str">
        <f aca="false">IF(Calc!$B22=0,"",IF(Calc!G$3=0,"Closed",IF(Calc!G22=0,"Off",TEXT(MOD(Calc!U22,1),"h:mm AM/PM")&amp;IF(Calc!U22&gt;=1," (+1)","")&amp;" - "&amp;TEXT(MOD(Calc!AB22,1),"h:mm AM/PM")&amp;IF(Calc!AB22&gt;1," (+1)",""))))</f>
        <v/>
      </c>
      <c r="E22" s="13" t="str">
        <f aca="false">IF(Calc!$B22=0,"",IF(Calc!H$3=0,"Closed",IF(Calc!H22=0,"Off",TEXT(MOD(Calc!V22,1),"h:mm AM/PM")&amp;IF(Calc!V22&gt;=1," (+1)","")&amp;" - "&amp;TEXT(MOD(Calc!AC22,1),"h:mm AM/PM")&amp;IF(Calc!AC22&gt;1," (+1)",""))))</f>
        <v/>
      </c>
      <c r="F22" s="13" t="str">
        <f aca="false">IF(Calc!$B22=0,"",IF(Calc!I$3=0,"Closed",IF(Calc!I22=0,"Off",TEXT(MOD(Calc!W22,1),"h:mm AM/PM")&amp;IF(Calc!W22&gt;=1," (+1)","")&amp;" - "&amp;TEXT(MOD(Calc!AD22,1),"h:mm AM/PM")&amp;IF(Calc!AD22&gt;1," (+1)",""))))</f>
        <v/>
      </c>
      <c r="G22" s="13" t="str">
        <f aca="false">IF(Calc!$B22=0,"",IF(Calc!J$3=0,"Closed",IF(Calc!J22=0,"Off",TEXT(MOD(Calc!X22,1),"h:mm AM/PM")&amp;IF(Calc!X22&gt;=1," (+1)","")&amp;" - "&amp;TEXT(MOD(Calc!AE22,1),"h:mm AM/PM")&amp;IF(Calc!AE22&gt;1," (+1)",""))))</f>
        <v/>
      </c>
      <c r="H22" s="13" t="str">
        <f aca="false">IF(Calc!$B22=0,"",IF(Calc!K$3=0,"Closed",IF(Calc!K22=0,"Off",TEXT(MOD(Calc!Y22,1),"h:mm AM/PM")&amp;IF(Calc!Y22&gt;=1," (+1)","")&amp;" - "&amp;TEXT(MOD(Calc!AF22,1),"h:mm AM/PM")&amp;IF(Calc!AF22&gt;1," (+1)",""))))</f>
        <v/>
      </c>
      <c r="I22" s="13" t="str">
        <f aca="false">IF(Calc!$B22=0,"",IF(Calc!L$3=0,"Closed",IF(Calc!L22=0,"Off",TEXT(MOD(Calc!Z22,1),"h:mm AM/PM")&amp;IF(Calc!Z22&gt;=1," (+1)","")&amp;" - "&amp;TEXT(MOD(Calc!AG22,1),"h:mm AM/PM")&amp;IF(Calc!AG22&gt;1," (+1)",""))))</f>
        <v/>
      </c>
      <c r="J22" s="12" t="str">
        <f aca="false">IF(Calc!B22=0,"",(SUM(Calc!AA22:AG22)-SUM(Calc!T22:Z22))*24)</f>
        <v/>
      </c>
      <c r="K22" s="6" t="str">
        <f aca="false">IF(Calc!B22=0,"",SUM(Calc!F22:L22))</f>
        <v/>
      </c>
      <c r="L22" s="6" t="str">
        <f aca="false">IF(Calc!B22=0,"",IF(Inputs!$B$6=0,"None",CHOOSE(Calc!D22+1,"Mon","Tue","Wed","Thu","Fri","Sat","Sun")&amp;" to "&amp;CHOOSE(MOD(Calc!D22+Inputs!$B$6-1,7)+1,"Mon","Tue","Wed","Thu","Fri","Sat","Sun")))</f>
        <v/>
      </c>
    </row>
    <row r="23" customFormat="false" ht="15" hidden="false" customHeight="false" outlineLevel="0" collapsed="false">
      <c r="A23" s="6" t="str">
        <f aca="false">IF(Calc!B23=1,18,"")</f>
        <v/>
      </c>
      <c r="B23" s="6" t="str">
        <f aca="false">IF(Calc!B23=0,"",IF(Inputs!B40&lt;&gt;"",Inputs!B40,"Agent "&amp;18))</f>
        <v/>
      </c>
      <c r="C23" s="13" t="str">
        <f aca="false">IF(Calc!$B23=0,"",IF(Calc!F$3=0,"Closed",IF(Calc!F23=0,"Off",TEXT(MOD(Calc!T23,1),"h:mm AM/PM")&amp;IF(Calc!T23&gt;=1," (+1)","")&amp;" - "&amp;TEXT(MOD(Calc!AA23,1),"h:mm AM/PM")&amp;IF(Calc!AA23&gt;1," (+1)",""))))</f>
        <v/>
      </c>
      <c r="D23" s="13" t="str">
        <f aca="false">IF(Calc!$B23=0,"",IF(Calc!G$3=0,"Closed",IF(Calc!G23=0,"Off",TEXT(MOD(Calc!U23,1),"h:mm AM/PM")&amp;IF(Calc!U23&gt;=1," (+1)","")&amp;" - "&amp;TEXT(MOD(Calc!AB23,1),"h:mm AM/PM")&amp;IF(Calc!AB23&gt;1," (+1)",""))))</f>
        <v/>
      </c>
      <c r="E23" s="13" t="str">
        <f aca="false">IF(Calc!$B23=0,"",IF(Calc!H$3=0,"Closed",IF(Calc!H23=0,"Off",TEXT(MOD(Calc!V23,1),"h:mm AM/PM")&amp;IF(Calc!V23&gt;=1," (+1)","")&amp;" - "&amp;TEXT(MOD(Calc!AC23,1),"h:mm AM/PM")&amp;IF(Calc!AC23&gt;1," (+1)",""))))</f>
        <v/>
      </c>
      <c r="F23" s="13" t="str">
        <f aca="false">IF(Calc!$B23=0,"",IF(Calc!I$3=0,"Closed",IF(Calc!I23=0,"Off",TEXT(MOD(Calc!W23,1),"h:mm AM/PM")&amp;IF(Calc!W23&gt;=1," (+1)","")&amp;" - "&amp;TEXT(MOD(Calc!AD23,1),"h:mm AM/PM")&amp;IF(Calc!AD23&gt;1," (+1)",""))))</f>
        <v/>
      </c>
      <c r="G23" s="13" t="str">
        <f aca="false">IF(Calc!$B23=0,"",IF(Calc!J$3=0,"Closed",IF(Calc!J23=0,"Off",TEXT(MOD(Calc!X23,1),"h:mm AM/PM")&amp;IF(Calc!X23&gt;=1," (+1)","")&amp;" - "&amp;TEXT(MOD(Calc!AE23,1),"h:mm AM/PM")&amp;IF(Calc!AE23&gt;1," (+1)",""))))</f>
        <v/>
      </c>
      <c r="H23" s="13" t="str">
        <f aca="false">IF(Calc!$B23=0,"",IF(Calc!K$3=0,"Closed",IF(Calc!K23=0,"Off",TEXT(MOD(Calc!Y23,1),"h:mm AM/PM")&amp;IF(Calc!Y23&gt;=1," (+1)","")&amp;" - "&amp;TEXT(MOD(Calc!AF23,1),"h:mm AM/PM")&amp;IF(Calc!AF23&gt;1," (+1)",""))))</f>
        <v/>
      </c>
      <c r="I23" s="13" t="str">
        <f aca="false">IF(Calc!$B23=0,"",IF(Calc!L$3=0,"Closed",IF(Calc!L23=0,"Off",TEXT(MOD(Calc!Z23,1),"h:mm AM/PM")&amp;IF(Calc!Z23&gt;=1," (+1)","")&amp;" - "&amp;TEXT(MOD(Calc!AG23,1),"h:mm AM/PM")&amp;IF(Calc!AG23&gt;1," (+1)",""))))</f>
        <v/>
      </c>
      <c r="J23" s="12" t="str">
        <f aca="false">IF(Calc!B23=0,"",(SUM(Calc!AA23:AG23)-SUM(Calc!T23:Z23))*24)</f>
        <v/>
      </c>
      <c r="K23" s="6" t="str">
        <f aca="false">IF(Calc!B23=0,"",SUM(Calc!F23:L23))</f>
        <v/>
      </c>
      <c r="L23" s="6" t="str">
        <f aca="false">IF(Calc!B23=0,"",IF(Inputs!$B$6=0,"None",CHOOSE(Calc!D23+1,"Mon","Tue","Wed","Thu","Fri","Sat","Sun")&amp;" to "&amp;CHOOSE(MOD(Calc!D23+Inputs!$B$6-1,7)+1,"Mon","Tue","Wed","Thu","Fri","Sat","Sun")))</f>
        <v/>
      </c>
    </row>
    <row r="24" customFormat="false" ht="15" hidden="false" customHeight="false" outlineLevel="0" collapsed="false">
      <c r="A24" s="6" t="str">
        <f aca="false">IF(Calc!B24=1,19,"")</f>
        <v/>
      </c>
      <c r="B24" s="6" t="str">
        <f aca="false">IF(Calc!B24=0,"",IF(Inputs!B41&lt;&gt;"",Inputs!B41,"Agent "&amp;19))</f>
        <v/>
      </c>
      <c r="C24" s="13" t="str">
        <f aca="false">IF(Calc!$B24=0,"",IF(Calc!F$3=0,"Closed",IF(Calc!F24=0,"Off",TEXT(MOD(Calc!T24,1),"h:mm AM/PM")&amp;IF(Calc!T24&gt;=1," (+1)","")&amp;" - "&amp;TEXT(MOD(Calc!AA24,1),"h:mm AM/PM")&amp;IF(Calc!AA24&gt;1," (+1)",""))))</f>
        <v/>
      </c>
      <c r="D24" s="13" t="str">
        <f aca="false">IF(Calc!$B24=0,"",IF(Calc!G$3=0,"Closed",IF(Calc!G24=0,"Off",TEXT(MOD(Calc!U24,1),"h:mm AM/PM")&amp;IF(Calc!U24&gt;=1," (+1)","")&amp;" - "&amp;TEXT(MOD(Calc!AB24,1),"h:mm AM/PM")&amp;IF(Calc!AB24&gt;1," (+1)",""))))</f>
        <v/>
      </c>
      <c r="E24" s="13" t="str">
        <f aca="false">IF(Calc!$B24=0,"",IF(Calc!H$3=0,"Closed",IF(Calc!H24=0,"Off",TEXT(MOD(Calc!V24,1),"h:mm AM/PM")&amp;IF(Calc!V24&gt;=1," (+1)","")&amp;" - "&amp;TEXT(MOD(Calc!AC24,1),"h:mm AM/PM")&amp;IF(Calc!AC24&gt;1," (+1)",""))))</f>
        <v/>
      </c>
      <c r="F24" s="13" t="str">
        <f aca="false">IF(Calc!$B24=0,"",IF(Calc!I$3=0,"Closed",IF(Calc!I24=0,"Off",TEXT(MOD(Calc!W24,1),"h:mm AM/PM")&amp;IF(Calc!W24&gt;=1," (+1)","")&amp;" - "&amp;TEXT(MOD(Calc!AD24,1),"h:mm AM/PM")&amp;IF(Calc!AD24&gt;1," (+1)",""))))</f>
        <v/>
      </c>
      <c r="G24" s="13" t="str">
        <f aca="false">IF(Calc!$B24=0,"",IF(Calc!J$3=0,"Closed",IF(Calc!J24=0,"Off",TEXT(MOD(Calc!X24,1),"h:mm AM/PM")&amp;IF(Calc!X24&gt;=1," (+1)","")&amp;" - "&amp;TEXT(MOD(Calc!AE24,1),"h:mm AM/PM")&amp;IF(Calc!AE24&gt;1," (+1)",""))))</f>
        <v/>
      </c>
      <c r="H24" s="13" t="str">
        <f aca="false">IF(Calc!$B24=0,"",IF(Calc!K$3=0,"Closed",IF(Calc!K24=0,"Off",TEXT(MOD(Calc!Y24,1),"h:mm AM/PM")&amp;IF(Calc!Y24&gt;=1," (+1)","")&amp;" - "&amp;TEXT(MOD(Calc!AF24,1),"h:mm AM/PM")&amp;IF(Calc!AF24&gt;1," (+1)",""))))</f>
        <v/>
      </c>
      <c r="I24" s="13" t="str">
        <f aca="false">IF(Calc!$B24=0,"",IF(Calc!L$3=0,"Closed",IF(Calc!L24=0,"Off",TEXT(MOD(Calc!Z24,1),"h:mm AM/PM")&amp;IF(Calc!Z24&gt;=1," (+1)","")&amp;" - "&amp;TEXT(MOD(Calc!AG24,1),"h:mm AM/PM")&amp;IF(Calc!AG24&gt;1," (+1)",""))))</f>
        <v/>
      </c>
      <c r="J24" s="12" t="str">
        <f aca="false">IF(Calc!B24=0,"",(SUM(Calc!AA24:AG24)-SUM(Calc!T24:Z24))*24)</f>
        <v/>
      </c>
      <c r="K24" s="6" t="str">
        <f aca="false">IF(Calc!B24=0,"",SUM(Calc!F24:L24))</f>
        <v/>
      </c>
      <c r="L24" s="6" t="str">
        <f aca="false">IF(Calc!B24=0,"",IF(Inputs!$B$6=0,"None",CHOOSE(Calc!D24+1,"Mon","Tue","Wed","Thu","Fri","Sat","Sun")&amp;" to "&amp;CHOOSE(MOD(Calc!D24+Inputs!$B$6-1,7)+1,"Mon","Tue","Wed","Thu","Fri","Sat","Sun")))</f>
        <v/>
      </c>
    </row>
    <row r="25" customFormat="false" ht="15" hidden="false" customHeight="false" outlineLevel="0" collapsed="false">
      <c r="A25" s="6" t="str">
        <f aca="false">IF(Calc!B25=1,20,"")</f>
        <v/>
      </c>
      <c r="B25" s="6" t="str">
        <f aca="false">IF(Calc!B25=0,"",IF(Inputs!B42&lt;&gt;"",Inputs!B42,"Agent "&amp;20))</f>
        <v/>
      </c>
      <c r="C25" s="13" t="str">
        <f aca="false">IF(Calc!$B25=0,"",IF(Calc!F$3=0,"Closed",IF(Calc!F25=0,"Off",TEXT(MOD(Calc!T25,1),"h:mm AM/PM")&amp;IF(Calc!T25&gt;=1," (+1)","")&amp;" - "&amp;TEXT(MOD(Calc!AA25,1),"h:mm AM/PM")&amp;IF(Calc!AA25&gt;1," (+1)",""))))</f>
        <v/>
      </c>
      <c r="D25" s="13" t="str">
        <f aca="false">IF(Calc!$B25=0,"",IF(Calc!G$3=0,"Closed",IF(Calc!G25=0,"Off",TEXT(MOD(Calc!U25,1),"h:mm AM/PM")&amp;IF(Calc!U25&gt;=1," (+1)","")&amp;" - "&amp;TEXT(MOD(Calc!AB25,1),"h:mm AM/PM")&amp;IF(Calc!AB25&gt;1," (+1)",""))))</f>
        <v/>
      </c>
      <c r="E25" s="13" t="str">
        <f aca="false">IF(Calc!$B25=0,"",IF(Calc!H$3=0,"Closed",IF(Calc!H25=0,"Off",TEXT(MOD(Calc!V25,1),"h:mm AM/PM")&amp;IF(Calc!V25&gt;=1," (+1)","")&amp;" - "&amp;TEXT(MOD(Calc!AC25,1),"h:mm AM/PM")&amp;IF(Calc!AC25&gt;1," (+1)",""))))</f>
        <v/>
      </c>
      <c r="F25" s="13" t="str">
        <f aca="false">IF(Calc!$B25=0,"",IF(Calc!I$3=0,"Closed",IF(Calc!I25=0,"Off",TEXT(MOD(Calc!W25,1),"h:mm AM/PM")&amp;IF(Calc!W25&gt;=1," (+1)","")&amp;" - "&amp;TEXT(MOD(Calc!AD25,1),"h:mm AM/PM")&amp;IF(Calc!AD25&gt;1," (+1)",""))))</f>
        <v/>
      </c>
      <c r="G25" s="13" t="str">
        <f aca="false">IF(Calc!$B25=0,"",IF(Calc!J$3=0,"Closed",IF(Calc!J25=0,"Off",TEXT(MOD(Calc!X25,1),"h:mm AM/PM")&amp;IF(Calc!X25&gt;=1," (+1)","")&amp;" - "&amp;TEXT(MOD(Calc!AE25,1),"h:mm AM/PM")&amp;IF(Calc!AE25&gt;1," (+1)",""))))</f>
        <v/>
      </c>
      <c r="H25" s="13" t="str">
        <f aca="false">IF(Calc!$B25=0,"",IF(Calc!K$3=0,"Closed",IF(Calc!K25=0,"Off",TEXT(MOD(Calc!Y25,1),"h:mm AM/PM")&amp;IF(Calc!Y25&gt;=1," (+1)","")&amp;" - "&amp;TEXT(MOD(Calc!AF25,1),"h:mm AM/PM")&amp;IF(Calc!AF25&gt;1," (+1)",""))))</f>
        <v/>
      </c>
      <c r="I25" s="13" t="str">
        <f aca="false">IF(Calc!$B25=0,"",IF(Calc!L$3=0,"Closed",IF(Calc!L25=0,"Off",TEXT(MOD(Calc!Z25,1),"h:mm AM/PM")&amp;IF(Calc!Z25&gt;=1," (+1)","")&amp;" - "&amp;TEXT(MOD(Calc!AG25,1),"h:mm AM/PM")&amp;IF(Calc!AG25&gt;1," (+1)",""))))</f>
        <v/>
      </c>
      <c r="J25" s="12" t="str">
        <f aca="false">IF(Calc!B25=0,"",(SUM(Calc!AA25:AG25)-SUM(Calc!T25:Z25))*24)</f>
        <v/>
      </c>
      <c r="K25" s="6" t="str">
        <f aca="false">IF(Calc!B25=0,"",SUM(Calc!F25:L25))</f>
        <v/>
      </c>
      <c r="L25" s="6" t="str">
        <f aca="false">IF(Calc!B25=0,"",IF(Inputs!$B$6=0,"None",CHOOSE(Calc!D25+1,"Mon","Tue","Wed","Thu","Fri","Sat","Sun")&amp;" to "&amp;CHOOSE(MOD(Calc!D25+Inputs!$B$6-1,7)+1,"Mon","Tue","Wed","Thu","Fri","Sat","Sun")))</f>
        <v/>
      </c>
    </row>
    <row r="26" customFormat="false" ht="15" hidden="false" customHeight="false" outlineLevel="0" collapsed="false">
      <c r="A26" s="6" t="str">
        <f aca="false">IF(Calc!B26=1,21,"")</f>
        <v/>
      </c>
      <c r="B26" s="6" t="str">
        <f aca="false">IF(Calc!B26=0,"",IF(Inputs!B43&lt;&gt;"",Inputs!B43,"Agent "&amp;21))</f>
        <v/>
      </c>
      <c r="C26" s="13" t="str">
        <f aca="false">IF(Calc!$B26=0,"",IF(Calc!F$3=0,"Closed",IF(Calc!F26=0,"Off",TEXT(MOD(Calc!T26,1),"h:mm AM/PM")&amp;IF(Calc!T26&gt;=1," (+1)","")&amp;" - "&amp;TEXT(MOD(Calc!AA26,1),"h:mm AM/PM")&amp;IF(Calc!AA26&gt;1," (+1)",""))))</f>
        <v/>
      </c>
      <c r="D26" s="13" t="str">
        <f aca="false">IF(Calc!$B26=0,"",IF(Calc!G$3=0,"Closed",IF(Calc!G26=0,"Off",TEXT(MOD(Calc!U26,1),"h:mm AM/PM")&amp;IF(Calc!U26&gt;=1," (+1)","")&amp;" - "&amp;TEXT(MOD(Calc!AB26,1),"h:mm AM/PM")&amp;IF(Calc!AB26&gt;1," (+1)",""))))</f>
        <v/>
      </c>
      <c r="E26" s="13" t="str">
        <f aca="false">IF(Calc!$B26=0,"",IF(Calc!H$3=0,"Closed",IF(Calc!H26=0,"Off",TEXT(MOD(Calc!V26,1),"h:mm AM/PM")&amp;IF(Calc!V26&gt;=1," (+1)","")&amp;" - "&amp;TEXT(MOD(Calc!AC26,1),"h:mm AM/PM")&amp;IF(Calc!AC26&gt;1," (+1)",""))))</f>
        <v/>
      </c>
      <c r="F26" s="13" t="str">
        <f aca="false">IF(Calc!$B26=0,"",IF(Calc!I$3=0,"Closed",IF(Calc!I26=0,"Off",TEXT(MOD(Calc!W26,1),"h:mm AM/PM")&amp;IF(Calc!W26&gt;=1," (+1)","")&amp;" - "&amp;TEXT(MOD(Calc!AD26,1),"h:mm AM/PM")&amp;IF(Calc!AD26&gt;1," (+1)",""))))</f>
        <v/>
      </c>
      <c r="G26" s="13" t="str">
        <f aca="false">IF(Calc!$B26=0,"",IF(Calc!J$3=0,"Closed",IF(Calc!J26=0,"Off",TEXT(MOD(Calc!X26,1),"h:mm AM/PM")&amp;IF(Calc!X26&gt;=1," (+1)","")&amp;" - "&amp;TEXT(MOD(Calc!AE26,1),"h:mm AM/PM")&amp;IF(Calc!AE26&gt;1," (+1)",""))))</f>
        <v/>
      </c>
      <c r="H26" s="13" t="str">
        <f aca="false">IF(Calc!$B26=0,"",IF(Calc!K$3=0,"Closed",IF(Calc!K26=0,"Off",TEXT(MOD(Calc!Y26,1),"h:mm AM/PM")&amp;IF(Calc!Y26&gt;=1," (+1)","")&amp;" - "&amp;TEXT(MOD(Calc!AF26,1),"h:mm AM/PM")&amp;IF(Calc!AF26&gt;1," (+1)",""))))</f>
        <v/>
      </c>
      <c r="I26" s="13" t="str">
        <f aca="false">IF(Calc!$B26=0,"",IF(Calc!L$3=0,"Closed",IF(Calc!L26=0,"Off",TEXT(MOD(Calc!Z26,1),"h:mm AM/PM")&amp;IF(Calc!Z26&gt;=1," (+1)","")&amp;" - "&amp;TEXT(MOD(Calc!AG26,1),"h:mm AM/PM")&amp;IF(Calc!AG26&gt;1," (+1)",""))))</f>
        <v/>
      </c>
      <c r="J26" s="12" t="str">
        <f aca="false">IF(Calc!B26=0,"",(SUM(Calc!AA26:AG26)-SUM(Calc!T26:Z26))*24)</f>
        <v/>
      </c>
      <c r="K26" s="6" t="str">
        <f aca="false">IF(Calc!B26=0,"",SUM(Calc!F26:L26))</f>
        <v/>
      </c>
      <c r="L26" s="6" t="str">
        <f aca="false">IF(Calc!B26=0,"",IF(Inputs!$B$6=0,"None",CHOOSE(Calc!D26+1,"Mon","Tue","Wed","Thu","Fri","Sat","Sun")&amp;" to "&amp;CHOOSE(MOD(Calc!D26+Inputs!$B$6-1,7)+1,"Mon","Tue","Wed","Thu","Fri","Sat","Sun")))</f>
        <v/>
      </c>
    </row>
    <row r="27" customFormat="false" ht="15" hidden="false" customHeight="false" outlineLevel="0" collapsed="false">
      <c r="A27" s="6" t="str">
        <f aca="false">IF(Calc!B27=1,22,"")</f>
        <v/>
      </c>
      <c r="B27" s="6" t="str">
        <f aca="false">IF(Calc!B27=0,"",IF(Inputs!B44&lt;&gt;"",Inputs!B44,"Agent "&amp;22))</f>
        <v/>
      </c>
      <c r="C27" s="13" t="str">
        <f aca="false">IF(Calc!$B27=0,"",IF(Calc!F$3=0,"Closed",IF(Calc!F27=0,"Off",TEXT(MOD(Calc!T27,1),"h:mm AM/PM")&amp;IF(Calc!T27&gt;=1," (+1)","")&amp;" - "&amp;TEXT(MOD(Calc!AA27,1),"h:mm AM/PM")&amp;IF(Calc!AA27&gt;1," (+1)",""))))</f>
        <v/>
      </c>
      <c r="D27" s="13" t="str">
        <f aca="false">IF(Calc!$B27=0,"",IF(Calc!G$3=0,"Closed",IF(Calc!G27=0,"Off",TEXT(MOD(Calc!U27,1),"h:mm AM/PM")&amp;IF(Calc!U27&gt;=1," (+1)","")&amp;" - "&amp;TEXT(MOD(Calc!AB27,1),"h:mm AM/PM")&amp;IF(Calc!AB27&gt;1," (+1)",""))))</f>
        <v/>
      </c>
      <c r="E27" s="13" t="str">
        <f aca="false">IF(Calc!$B27=0,"",IF(Calc!H$3=0,"Closed",IF(Calc!H27=0,"Off",TEXT(MOD(Calc!V27,1),"h:mm AM/PM")&amp;IF(Calc!V27&gt;=1," (+1)","")&amp;" - "&amp;TEXT(MOD(Calc!AC27,1),"h:mm AM/PM")&amp;IF(Calc!AC27&gt;1," (+1)",""))))</f>
        <v/>
      </c>
      <c r="F27" s="13" t="str">
        <f aca="false">IF(Calc!$B27=0,"",IF(Calc!I$3=0,"Closed",IF(Calc!I27=0,"Off",TEXT(MOD(Calc!W27,1),"h:mm AM/PM")&amp;IF(Calc!W27&gt;=1," (+1)","")&amp;" - "&amp;TEXT(MOD(Calc!AD27,1),"h:mm AM/PM")&amp;IF(Calc!AD27&gt;1," (+1)",""))))</f>
        <v/>
      </c>
      <c r="G27" s="13" t="str">
        <f aca="false">IF(Calc!$B27=0,"",IF(Calc!J$3=0,"Closed",IF(Calc!J27=0,"Off",TEXT(MOD(Calc!X27,1),"h:mm AM/PM")&amp;IF(Calc!X27&gt;=1," (+1)","")&amp;" - "&amp;TEXT(MOD(Calc!AE27,1),"h:mm AM/PM")&amp;IF(Calc!AE27&gt;1," (+1)",""))))</f>
        <v/>
      </c>
      <c r="H27" s="13" t="str">
        <f aca="false">IF(Calc!$B27=0,"",IF(Calc!K$3=0,"Closed",IF(Calc!K27=0,"Off",TEXT(MOD(Calc!Y27,1),"h:mm AM/PM")&amp;IF(Calc!Y27&gt;=1," (+1)","")&amp;" - "&amp;TEXT(MOD(Calc!AF27,1),"h:mm AM/PM")&amp;IF(Calc!AF27&gt;1," (+1)",""))))</f>
        <v/>
      </c>
      <c r="I27" s="13" t="str">
        <f aca="false">IF(Calc!$B27=0,"",IF(Calc!L$3=0,"Closed",IF(Calc!L27=0,"Off",TEXT(MOD(Calc!Z27,1),"h:mm AM/PM")&amp;IF(Calc!Z27&gt;=1," (+1)","")&amp;" - "&amp;TEXT(MOD(Calc!AG27,1),"h:mm AM/PM")&amp;IF(Calc!AG27&gt;1," (+1)",""))))</f>
        <v/>
      </c>
      <c r="J27" s="12" t="str">
        <f aca="false">IF(Calc!B27=0,"",(SUM(Calc!AA27:AG27)-SUM(Calc!T27:Z27))*24)</f>
        <v/>
      </c>
      <c r="K27" s="6" t="str">
        <f aca="false">IF(Calc!B27=0,"",SUM(Calc!F27:L27))</f>
        <v/>
      </c>
      <c r="L27" s="6" t="str">
        <f aca="false">IF(Calc!B27=0,"",IF(Inputs!$B$6=0,"None",CHOOSE(Calc!D27+1,"Mon","Tue","Wed","Thu","Fri","Sat","Sun")&amp;" to "&amp;CHOOSE(MOD(Calc!D27+Inputs!$B$6-1,7)+1,"Mon","Tue","Wed","Thu","Fri","Sat","Sun")))</f>
        <v/>
      </c>
    </row>
    <row r="28" customFormat="false" ht="15" hidden="false" customHeight="false" outlineLevel="0" collapsed="false">
      <c r="A28" s="6" t="str">
        <f aca="false">IF(Calc!B28=1,23,"")</f>
        <v/>
      </c>
      <c r="B28" s="6" t="str">
        <f aca="false">IF(Calc!B28=0,"",IF(Inputs!B45&lt;&gt;"",Inputs!B45,"Agent "&amp;23))</f>
        <v/>
      </c>
      <c r="C28" s="13" t="str">
        <f aca="false">IF(Calc!$B28=0,"",IF(Calc!F$3=0,"Closed",IF(Calc!F28=0,"Off",TEXT(MOD(Calc!T28,1),"h:mm AM/PM")&amp;IF(Calc!T28&gt;=1," (+1)","")&amp;" - "&amp;TEXT(MOD(Calc!AA28,1),"h:mm AM/PM")&amp;IF(Calc!AA28&gt;1," (+1)",""))))</f>
        <v/>
      </c>
      <c r="D28" s="13" t="str">
        <f aca="false">IF(Calc!$B28=0,"",IF(Calc!G$3=0,"Closed",IF(Calc!G28=0,"Off",TEXT(MOD(Calc!U28,1),"h:mm AM/PM")&amp;IF(Calc!U28&gt;=1," (+1)","")&amp;" - "&amp;TEXT(MOD(Calc!AB28,1),"h:mm AM/PM")&amp;IF(Calc!AB28&gt;1," (+1)",""))))</f>
        <v/>
      </c>
      <c r="E28" s="13" t="str">
        <f aca="false">IF(Calc!$B28=0,"",IF(Calc!H$3=0,"Closed",IF(Calc!H28=0,"Off",TEXT(MOD(Calc!V28,1),"h:mm AM/PM")&amp;IF(Calc!V28&gt;=1," (+1)","")&amp;" - "&amp;TEXT(MOD(Calc!AC28,1),"h:mm AM/PM")&amp;IF(Calc!AC28&gt;1," (+1)",""))))</f>
        <v/>
      </c>
      <c r="F28" s="13" t="str">
        <f aca="false">IF(Calc!$B28=0,"",IF(Calc!I$3=0,"Closed",IF(Calc!I28=0,"Off",TEXT(MOD(Calc!W28,1),"h:mm AM/PM")&amp;IF(Calc!W28&gt;=1," (+1)","")&amp;" - "&amp;TEXT(MOD(Calc!AD28,1),"h:mm AM/PM")&amp;IF(Calc!AD28&gt;1," (+1)",""))))</f>
        <v/>
      </c>
      <c r="G28" s="13" t="str">
        <f aca="false">IF(Calc!$B28=0,"",IF(Calc!J$3=0,"Closed",IF(Calc!J28=0,"Off",TEXT(MOD(Calc!X28,1),"h:mm AM/PM")&amp;IF(Calc!X28&gt;=1," (+1)","")&amp;" - "&amp;TEXT(MOD(Calc!AE28,1),"h:mm AM/PM")&amp;IF(Calc!AE28&gt;1," (+1)",""))))</f>
        <v/>
      </c>
      <c r="H28" s="13" t="str">
        <f aca="false">IF(Calc!$B28=0,"",IF(Calc!K$3=0,"Closed",IF(Calc!K28=0,"Off",TEXT(MOD(Calc!Y28,1),"h:mm AM/PM")&amp;IF(Calc!Y28&gt;=1," (+1)","")&amp;" - "&amp;TEXT(MOD(Calc!AF28,1),"h:mm AM/PM")&amp;IF(Calc!AF28&gt;1," (+1)",""))))</f>
        <v/>
      </c>
      <c r="I28" s="13" t="str">
        <f aca="false">IF(Calc!$B28=0,"",IF(Calc!L$3=0,"Closed",IF(Calc!L28=0,"Off",TEXT(MOD(Calc!Z28,1),"h:mm AM/PM")&amp;IF(Calc!Z28&gt;=1," (+1)","")&amp;" - "&amp;TEXT(MOD(Calc!AG28,1),"h:mm AM/PM")&amp;IF(Calc!AG28&gt;1," (+1)",""))))</f>
        <v/>
      </c>
      <c r="J28" s="12" t="str">
        <f aca="false">IF(Calc!B28=0,"",(SUM(Calc!AA28:AG28)-SUM(Calc!T28:Z28))*24)</f>
        <v/>
      </c>
      <c r="K28" s="6" t="str">
        <f aca="false">IF(Calc!B28=0,"",SUM(Calc!F28:L28))</f>
        <v/>
      </c>
      <c r="L28" s="6" t="str">
        <f aca="false">IF(Calc!B28=0,"",IF(Inputs!$B$6=0,"None",CHOOSE(Calc!D28+1,"Mon","Tue","Wed","Thu","Fri","Sat","Sun")&amp;" to "&amp;CHOOSE(MOD(Calc!D28+Inputs!$B$6-1,7)+1,"Mon","Tue","Wed","Thu","Fri","Sat","Sun")))</f>
        <v/>
      </c>
    </row>
    <row r="29" customFormat="false" ht="15" hidden="false" customHeight="false" outlineLevel="0" collapsed="false">
      <c r="A29" s="6" t="str">
        <f aca="false">IF(Calc!B29=1,24,"")</f>
        <v/>
      </c>
      <c r="B29" s="6" t="str">
        <f aca="false">IF(Calc!B29=0,"",IF(Inputs!B46&lt;&gt;"",Inputs!B46,"Agent "&amp;24))</f>
        <v/>
      </c>
      <c r="C29" s="13" t="str">
        <f aca="false">IF(Calc!$B29=0,"",IF(Calc!F$3=0,"Closed",IF(Calc!F29=0,"Off",TEXT(MOD(Calc!T29,1),"h:mm AM/PM")&amp;IF(Calc!T29&gt;=1," (+1)","")&amp;" - "&amp;TEXT(MOD(Calc!AA29,1),"h:mm AM/PM")&amp;IF(Calc!AA29&gt;1," (+1)",""))))</f>
        <v/>
      </c>
      <c r="D29" s="13" t="str">
        <f aca="false">IF(Calc!$B29=0,"",IF(Calc!G$3=0,"Closed",IF(Calc!G29=0,"Off",TEXT(MOD(Calc!U29,1),"h:mm AM/PM")&amp;IF(Calc!U29&gt;=1," (+1)","")&amp;" - "&amp;TEXT(MOD(Calc!AB29,1),"h:mm AM/PM")&amp;IF(Calc!AB29&gt;1," (+1)",""))))</f>
        <v/>
      </c>
      <c r="E29" s="13" t="str">
        <f aca="false">IF(Calc!$B29=0,"",IF(Calc!H$3=0,"Closed",IF(Calc!H29=0,"Off",TEXT(MOD(Calc!V29,1),"h:mm AM/PM")&amp;IF(Calc!V29&gt;=1," (+1)","")&amp;" - "&amp;TEXT(MOD(Calc!AC29,1),"h:mm AM/PM")&amp;IF(Calc!AC29&gt;1," (+1)",""))))</f>
        <v/>
      </c>
      <c r="F29" s="13" t="str">
        <f aca="false">IF(Calc!$B29=0,"",IF(Calc!I$3=0,"Closed",IF(Calc!I29=0,"Off",TEXT(MOD(Calc!W29,1),"h:mm AM/PM")&amp;IF(Calc!W29&gt;=1," (+1)","")&amp;" - "&amp;TEXT(MOD(Calc!AD29,1),"h:mm AM/PM")&amp;IF(Calc!AD29&gt;1," (+1)",""))))</f>
        <v/>
      </c>
      <c r="G29" s="13" t="str">
        <f aca="false">IF(Calc!$B29=0,"",IF(Calc!J$3=0,"Closed",IF(Calc!J29=0,"Off",TEXT(MOD(Calc!X29,1),"h:mm AM/PM")&amp;IF(Calc!X29&gt;=1," (+1)","")&amp;" - "&amp;TEXT(MOD(Calc!AE29,1),"h:mm AM/PM")&amp;IF(Calc!AE29&gt;1," (+1)",""))))</f>
        <v/>
      </c>
      <c r="H29" s="13" t="str">
        <f aca="false">IF(Calc!$B29=0,"",IF(Calc!K$3=0,"Closed",IF(Calc!K29=0,"Off",TEXT(MOD(Calc!Y29,1),"h:mm AM/PM")&amp;IF(Calc!Y29&gt;=1," (+1)","")&amp;" - "&amp;TEXT(MOD(Calc!AF29,1),"h:mm AM/PM")&amp;IF(Calc!AF29&gt;1," (+1)",""))))</f>
        <v/>
      </c>
      <c r="I29" s="13" t="str">
        <f aca="false">IF(Calc!$B29=0,"",IF(Calc!L$3=0,"Closed",IF(Calc!L29=0,"Off",TEXT(MOD(Calc!Z29,1),"h:mm AM/PM")&amp;IF(Calc!Z29&gt;=1," (+1)","")&amp;" - "&amp;TEXT(MOD(Calc!AG29,1),"h:mm AM/PM")&amp;IF(Calc!AG29&gt;1," (+1)",""))))</f>
        <v/>
      </c>
      <c r="J29" s="12" t="str">
        <f aca="false">IF(Calc!B29=0,"",(SUM(Calc!AA29:AG29)-SUM(Calc!T29:Z29))*24)</f>
        <v/>
      </c>
      <c r="K29" s="6" t="str">
        <f aca="false">IF(Calc!B29=0,"",SUM(Calc!F29:L29))</f>
        <v/>
      </c>
      <c r="L29" s="6" t="str">
        <f aca="false">IF(Calc!B29=0,"",IF(Inputs!$B$6=0,"None",CHOOSE(Calc!D29+1,"Mon","Tue","Wed","Thu","Fri","Sat","Sun")&amp;" to "&amp;CHOOSE(MOD(Calc!D29+Inputs!$B$6-1,7)+1,"Mon","Tue","Wed","Thu","Fri","Sat","Sun")))</f>
        <v/>
      </c>
    </row>
    <row r="30" customFormat="false" ht="15" hidden="false" customHeight="false" outlineLevel="0" collapsed="false">
      <c r="A30" s="6" t="str">
        <f aca="false">IF(Calc!B30=1,25,"")</f>
        <v/>
      </c>
      <c r="B30" s="6" t="str">
        <f aca="false">IF(Calc!B30=0,"",IF(Inputs!B47&lt;&gt;"",Inputs!B47,"Agent "&amp;25))</f>
        <v/>
      </c>
      <c r="C30" s="13" t="str">
        <f aca="false">IF(Calc!$B30=0,"",IF(Calc!F$3=0,"Closed",IF(Calc!F30=0,"Off",TEXT(MOD(Calc!T30,1),"h:mm AM/PM")&amp;IF(Calc!T30&gt;=1," (+1)","")&amp;" - "&amp;TEXT(MOD(Calc!AA30,1),"h:mm AM/PM")&amp;IF(Calc!AA30&gt;1," (+1)",""))))</f>
        <v/>
      </c>
      <c r="D30" s="13" t="str">
        <f aca="false">IF(Calc!$B30=0,"",IF(Calc!G$3=0,"Closed",IF(Calc!G30=0,"Off",TEXT(MOD(Calc!U30,1),"h:mm AM/PM")&amp;IF(Calc!U30&gt;=1," (+1)","")&amp;" - "&amp;TEXT(MOD(Calc!AB30,1),"h:mm AM/PM")&amp;IF(Calc!AB30&gt;1," (+1)",""))))</f>
        <v/>
      </c>
      <c r="E30" s="13" t="str">
        <f aca="false">IF(Calc!$B30=0,"",IF(Calc!H$3=0,"Closed",IF(Calc!H30=0,"Off",TEXT(MOD(Calc!V30,1),"h:mm AM/PM")&amp;IF(Calc!V30&gt;=1," (+1)","")&amp;" - "&amp;TEXT(MOD(Calc!AC30,1),"h:mm AM/PM")&amp;IF(Calc!AC30&gt;1," (+1)",""))))</f>
        <v/>
      </c>
      <c r="F30" s="13" t="str">
        <f aca="false">IF(Calc!$B30=0,"",IF(Calc!I$3=0,"Closed",IF(Calc!I30=0,"Off",TEXT(MOD(Calc!W30,1),"h:mm AM/PM")&amp;IF(Calc!W30&gt;=1," (+1)","")&amp;" - "&amp;TEXT(MOD(Calc!AD30,1),"h:mm AM/PM")&amp;IF(Calc!AD30&gt;1," (+1)",""))))</f>
        <v/>
      </c>
      <c r="G30" s="13" t="str">
        <f aca="false">IF(Calc!$B30=0,"",IF(Calc!J$3=0,"Closed",IF(Calc!J30=0,"Off",TEXT(MOD(Calc!X30,1),"h:mm AM/PM")&amp;IF(Calc!X30&gt;=1," (+1)","")&amp;" - "&amp;TEXT(MOD(Calc!AE30,1),"h:mm AM/PM")&amp;IF(Calc!AE30&gt;1," (+1)",""))))</f>
        <v/>
      </c>
      <c r="H30" s="13" t="str">
        <f aca="false">IF(Calc!$B30=0,"",IF(Calc!K$3=0,"Closed",IF(Calc!K30=0,"Off",TEXT(MOD(Calc!Y30,1),"h:mm AM/PM")&amp;IF(Calc!Y30&gt;=1," (+1)","")&amp;" - "&amp;TEXT(MOD(Calc!AF30,1),"h:mm AM/PM")&amp;IF(Calc!AF30&gt;1," (+1)",""))))</f>
        <v/>
      </c>
      <c r="I30" s="13" t="str">
        <f aca="false">IF(Calc!$B30=0,"",IF(Calc!L$3=0,"Closed",IF(Calc!L30=0,"Off",TEXT(MOD(Calc!Z30,1),"h:mm AM/PM")&amp;IF(Calc!Z30&gt;=1," (+1)","")&amp;" - "&amp;TEXT(MOD(Calc!AG30,1),"h:mm AM/PM")&amp;IF(Calc!AG30&gt;1," (+1)",""))))</f>
        <v/>
      </c>
      <c r="J30" s="12" t="str">
        <f aca="false">IF(Calc!B30=0,"",(SUM(Calc!AA30:AG30)-SUM(Calc!T30:Z30))*24)</f>
        <v/>
      </c>
      <c r="K30" s="6" t="str">
        <f aca="false">IF(Calc!B30=0,"",SUM(Calc!F30:L30))</f>
        <v/>
      </c>
      <c r="L30" s="6" t="str">
        <f aca="false">IF(Calc!B30=0,"",IF(Inputs!$B$6=0,"None",CHOOSE(Calc!D30+1,"Mon","Tue","Wed","Thu","Fri","Sat","Sun")&amp;" to "&amp;CHOOSE(MOD(Calc!D30+Inputs!$B$6-1,7)+1,"Mon","Tue","Wed","Thu","Fri","Sat","Sun")))</f>
        <v/>
      </c>
    </row>
    <row r="31" customFormat="false" ht="15" hidden="false" customHeight="false" outlineLevel="0" collapsed="false">
      <c r="A31" s="6" t="str">
        <f aca="false">IF(Calc!B31=1,26,"")</f>
        <v/>
      </c>
      <c r="B31" s="6" t="str">
        <f aca="false">IF(Calc!B31=0,"",IF(Inputs!B48&lt;&gt;"",Inputs!B48,"Agent "&amp;26))</f>
        <v/>
      </c>
      <c r="C31" s="13" t="str">
        <f aca="false">IF(Calc!$B31=0,"",IF(Calc!F$3=0,"Closed",IF(Calc!F31=0,"Off",TEXT(MOD(Calc!T31,1),"h:mm AM/PM")&amp;IF(Calc!T31&gt;=1," (+1)","")&amp;" - "&amp;TEXT(MOD(Calc!AA31,1),"h:mm AM/PM")&amp;IF(Calc!AA31&gt;1," (+1)",""))))</f>
        <v/>
      </c>
      <c r="D31" s="13" t="str">
        <f aca="false">IF(Calc!$B31=0,"",IF(Calc!G$3=0,"Closed",IF(Calc!G31=0,"Off",TEXT(MOD(Calc!U31,1),"h:mm AM/PM")&amp;IF(Calc!U31&gt;=1," (+1)","")&amp;" - "&amp;TEXT(MOD(Calc!AB31,1),"h:mm AM/PM")&amp;IF(Calc!AB31&gt;1," (+1)",""))))</f>
        <v/>
      </c>
      <c r="E31" s="13" t="str">
        <f aca="false">IF(Calc!$B31=0,"",IF(Calc!H$3=0,"Closed",IF(Calc!H31=0,"Off",TEXT(MOD(Calc!V31,1),"h:mm AM/PM")&amp;IF(Calc!V31&gt;=1," (+1)","")&amp;" - "&amp;TEXT(MOD(Calc!AC31,1),"h:mm AM/PM")&amp;IF(Calc!AC31&gt;1," (+1)",""))))</f>
        <v/>
      </c>
      <c r="F31" s="13" t="str">
        <f aca="false">IF(Calc!$B31=0,"",IF(Calc!I$3=0,"Closed",IF(Calc!I31=0,"Off",TEXT(MOD(Calc!W31,1),"h:mm AM/PM")&amp;IF(Calc!W31&gt;=1," (+1)","")&amp;" - "&amp;TEXT(MOD(Calc!AD31,1),"h:mm AM/PM")&amp;IF(Calc!AD31&gt;1," (+1)",""))))</f>
        <v/>
      </c>
      <c r="G31" s="13" t="str">
        <f aca="false">IF(Calc!$B31=0,"",IF(Calc!J$3=0,"Closed",IF(Calc!J31=0,"Off",TEXT(MOD(Calc!X31,1),"h:mm AM/PM")&amp;IF(Calc!X31&gt;=1," (+1)","")&amp;" - "&amp;TEXT(MOD(Calc!AE31,1),"h:mm AM/PM")&amp;IF(Calc!AE31&gt;1," (+1)",""))))</f>
        <v/>
      </c>
      <c r="H31" s="13" t="str">
        <f aca="false">IF(Calc!$B31=0,"",IF(Calc!K$3=0,"Closed",IF(Calc!K31=0,"Off",TEXT(MOD(Calc!Y31,1),"h:mm AM/PM")&amp;IF(Calc!Y31&gt;=1," (+1)","")&amp;" - "&amp;TEXT(MOD(Calc!AF31,1),"h:mm AM/PM")&amp;IF(Calc!AF31&gt;1," (+1)",""))))</f>
        <v/>
      </c>
      <c r="I31" s="13" t="str">
        <f aca="false">IF(Calc!$B31=0,"",IF(Calc!L$3=0,"Closed",IF(Calc!L31=0,"Off",TEXT(MOD(Calc!Z31,1),"h:mm AM/PM")&amp;IF(Calc!Z31&gt;=1," (+1)","")&amp;" - "&amp;TEXT(MOD(Calc!AG31,1),"h:mm AM/PM")&amp;IF(Calc!AG31&gt;1," (+1)",""))))</f>
        <v/>
      </c>
      <c r="J31" s="12" t="str">
        <f aca="false">IF(Calc!B31=0,"",(SUM(Calc!AA31:AG31)-SUM(Calc!T31:Z31))*24)</f>
        <v/>
      </c>
      <c r="K31" s="6" t="str">
        <f aca="false">IF(Calc!B31=0,"",SUM(Calc!F31:L31))</f>
        <v/>
      </c>
      <c r="L31" s="6" t="str">
        <f aca="false">IF(Calc!B31=0,"",IF(Inputs!$B$6=0,"None",CHOOSE(Calc!D31+1,"Mon","Tue","Wed","Thu","Fri","Sat","Sun")&amp;" to "&amp;CHOOSE(MOD(Calc!D31+Inputs!$B$6-1,7)+1,"Mon","Tue","Wed","Thu","Fri","Sat","Sun")))</f>
        <v/>
      </c>
    </row>
    <row r="32" customFormat="false" ht="15" hidden="false" customHeight="false" outlineLevel="0" collapsed="false">
      <c r="A32" s="6" t="str">
        <f aca="false">IF(Calc!B32=1,27,"")</f>
        <v/>
      </c>
      <c r="B32" s="6" t="str">
        <f aca="false">IF(Calc!B32=0,"",IF(Inputs!B49&lt;&gt;"",Inputs!B49,"Agent "&amp;27))</f>
        <v/>
      </c>
      <c r="C32" s="13" t="str">
        <f aca="false">IF(Calc!$B32=0,"",IF(Calc!F$3=0,"Closed",IF(Calc!F32=0,"Off",TEXT(MOD(Calc!T32,1),"h:mm AM/PM")&amp;IF(Calc!T32&gt;=1," (+1)","")&amp;" - "&amp;TEXT(MOD(Calc!AA32,1),"h:mm AM/PM")&amp;IF(Calc!AA32&gt;1," (+1)",""))))</f>
        <v/>
      </c>
      <c r="D32" s="13" t="str">
        <f aca="false">IF(Calc!$B32=0,"",IF(Calc!G$3=0,"Closed",IF(Calc!G32=0,"Off",TEXT(MOD(Calc!U32,1),"h:mm AM/PM")&amp;IF(Calc!U32&gt;=1," (+1)","")&amp;" - "&amp;TEXT(MOD(Calc!AB32,1),"h:mm AM/PM")&amp;IF(Calc!AB32&gt;1," (+1)",""))))</f>
        <v/>
      </c>
      <c r="E32" s="13" t="str">
        <f aca="false">IF(Calc!$B32=0,"",IF(Calc!H$3=0,"Closed",IF(Calc!H32=0,"Off",TEXT(MOD(Calc!V32,1),"h:mm AM/PM")&amp;IF(Calc!V32&gt;=1," (+1)","")&amp;" - "&amp;TEXT(MOD(Calc!AC32,1),"h:mm AM/PM")&amp;IF(Calc!AC32&gt;1," (+1)",""))))</f>
        <v/>
      </c>
      <c r="F32" s="13" t="str">
        <f aca="false">IF(Calc!$B32=0,"",IF(Calc!I$3=0,"Closed",IF(Calc!I32=0,"Off",TEXT(MOD(Calc!W32,1),"h:mm AM/PM")&amp;IF(Calc!W32&gt;=1," (+1)","")&amp;" - "&amp;TEXT(MOD(Calc!AD32,1),"h:mm AM/PM")&amp;IF(Calc!AD32&gt;1," (+1)",""))))</f>
        <v/>
      </c>
      <c r="G32" s="13" t="str">
        <f aca="false">IF(Calc!$B32=0,"",IF(Calc!J$3=0,"Closed",IF(Calc!J32=0,"Off",TEXT(MOD(Calc!X32,1),"h:mm AM/PM")&amp;IF(Calc!X32&gt;=1," (+1)","")&amp;" - "&amp;TEXT(MOD(Calc!AE32,1),"h:mm AM/PM")&amp;IF(Calc!AE32&gt;1," (+1)",""))))</f>
        <v/>
      </c>
      <c r="H32" s="13" t="str">
        <f aca="false">IF(Calc!$B32=0,"",IF(Calc!K$3=0,"Closed",IF(Calc!K32=0,"Off",TEXT(MOD(Calc!Y32,1),"h:mm AM/PM")&amp;IF(Calc!Y32&gt;=1," (+1)","")&amp;" - "&amp;TEXT(MOD(Calc!AF32,1),"h:mm AM/PM")&amp;IF(Calc!AF32&gt;1," (+1)",""))))</f>
        <v/>
      </c>
      <c r="I32" s="13" t="str">
        <f aca="false">IF(Calc!$B32=0,"",IF(Calc!L$3=0,"Closed",IF(Calc!L32=0,"Off",TEXT(MOD(Calc!Z32,1),"h:mm AM/PM")&amp;IF(Calc!Z32&gt;=1," (+1)","")&amp;" - "&amp;TEXT(MOD(Calc!AG32,1),"h:mm AM/PM")&amp;IF(Calc!AG32&gt;1," (+1)",""))))</f>
        <v/>
      </c>
      <c r="J32" s="12" t="str">
        <f aca="false">IF(Calc!B32=0,"",(SUM(Calc!AA32:AG32)-SUM(Calc!T32:Z32))*24)</f>
        <v/>
      </c>
      <c r="K32" s="6" t="str">
        <f aca="false">IF(Calc!B32=0,"",SUM(Calc!F32:L32))</f>
        <v/>
      </c>
      <c r="L32" s="6" t="str">
        <f aca="false">IF(Calc!B32=0,"",IF(Inputs!$B$6=0,"None",CHOOSE(Calc!D32+1,"Mon","Tue","Wed","Thu","Fri","Sat","Sun")&amp;" to "&amp;CHOOSE(MOD(Calc!D32+Inputs!$B$6-1,7)+1,"Mon","Tue","Wed","Thu","Fri","Sat","Sun")))</f>
        <v/>
      </c>
    </row>
    <row r="33" customFormat="false" ht="15" hidden="false" customHeight="false" outlineLevel="0" collapsed="false">
      <c r="A33" s="6" t="str">
        <f aca="false">IF(Calc!B33=1,28,"")</f>
        <v/>
      </c>
      <c r="B33" s="6" t="str">
        <f aca="false">IF(Calc!B33=0,"",IF(Inputs!B50&lt;&gt;"",Inputs!B50,"Agent "&amp;28))</f>
        <v/>
      </c>
      <c r="C33" s="13" t="str">
        <f aca="false">IF(Calc!$B33=0,"",IF(Calc!F$3=0,"Closed",IF(Calc!F33=0,"Off",TEXT(MOD(Calc!T33,1),"h:mm AM/PM")&amp;IF(Calc!T33&gt;=1," (+1)","")&amp;" - "&amp;TEXT(MOD(Calc!AA33,1),"h:mm AM/PM")&amp;IF(Calc!AA33&gt;1," (+1)",""))))</f>
        <v/>
      </c>
      <c r="D33" s="13" t="str">
        <f aca="false">IF(Calc!$B33=0,"",IF(Calc!G$3=0,"Closed",IF(Calc!G33=0,"Off",TEXT(MOD(Calc!U33,1),"h:mm AM/PM")&amp;IF(Calc!U33&gt;=1," (+1)","")&amp;" - "&amp;TEXT(MOD(Calc!AB33,1),"h:mm AM/PM")&amp;IF(Calc!AB33&gt;1," (+1)",""))))</f>
        <v/>
      </c>
      <c r="E33" s="13" t="str">
        <f aca="false">IF(Calc!$B33=0,"",IF(Calc!H$3=0,"Closed",IF(Calc!H33=0,"Off",TEXT(MOD(Calc!V33,1),"h:mm AM/PM")&amp;IF(Calc!V33&gt;=1," (+1)","")&amp;" - "&amp;TEXT(MOD(Calc!AC33,1),"h:mm AM/PM")&amp;IF(Calc!AC33&gt;1," (+1)",""))))</f>
        <v/>
      </c>
      <c r="F33" s="13" t="str">
        <f aca="false">IF(Calc!$B33=0,"",IF(Calc!I$3=0,"Closed",IF(Calc!I33=0,"Off",TEXT(MOD(Calc!W33,1),"h:mm AM/PM")&amp;IF(Calc!W33&gt;=1," (+1)","")&amp;" - "&amp;TEXT(MOD(Calc!AD33,1),"h:mm AM/PM")&amp;IF(Calc!AD33&gt;1," (+1)",""))))</f>
        <v/>
      </c>
      <c r="G33" s="13" t="str">
        <f aca="false">IF(Calc!$B33=0,"",IF(Calc!J$3=0,"Closed",IF(Calc!J33=0,"Off",TEXT(MOD(Calc!X33,1),"h:mm AM/PM")&amp;IF(Calc!X33&gt;=1," (+1)","")&amp;" - "&amp;TEXT(MOD(Calc!AE33,1),"h:mm AM/PM")&amp;IF(Calc!AE33&gt;1," (+1)",""))))</f>
        <v/>
      </c>
      <c r="H33" s="13" t="str">
        <f aca="false">IF(Calc!$B33=0,"",IF(Calc!K$3=0,"Closed",IF(Calc!K33=0,"Off",TEXT(MOD(Calc!Y33,1),"h:mm AM/PM")&amp;IF(Calc!Y33&gt;=1," (+1)","")&amp;" - "&amp;TEXT(MOD(Calc!AF33,1),"h:mm AM/PM")&amp;IF(Calc!AF33&gt;1," (+1)",""))))</f>
        <v/>
      </c>
      <c r="I33" s="13" t="str">
        <f aca="false">IF(Calc!$B33=0,"",IF(Calc!L$3=0,"Closed",IF(Calc!L33=0,"Off",TEXT(MOD(Calc!Z33,1),"h:mm AM/PM")&amp;IF(Calc!Z33&gt;=1," (+1)","")&amp;" - "&amp;TEXT(MOD(Calc!AG33,1),"h:mm AM/PM")&amp;IF(Calc!AG33&gt;1," (+1)",""))))</f>
        <v/>
      </c>
      <c r="J33" s="12" t="str">
        <f aca="false">IF(Calc!B33=0,"",(SUM(Calc!AA33:AG33)-SUM(Calc!T33:Z33))*24)</f>
        <v/>
      </c>
      <c r="K33" s="6" t="str">
        <f aca="false">IF(Calc!B33=0,"",SUM(Calc!F33:L33))</f>
        <v/>
      </c>
      <c r="L33" s="6" t="str">
        <f aca="false">IF(Calc!B33=0,"",IF(Inputs!$B$6=0,"None",CHOOSE(Calc!D33+1,"Mon","Tue","Wed","Thu","Fri","Sat","Sun")&amp;" to "&amp;CHOOSE(MOD(Calc!D33+Inputs!$B$6-1,7)+1,"Mon","Tue","Wed","Thu","Fri","Sat","Sun")))</f>
        <v/>
      </c>
    </row>
    <row r="34" customFormat="false" ht="15" hidden="false" customHeight="false" outlineLevel="0" collapsed="false">
      <c r="A34" s="6" t="str">
        <f aca="false">IF(Calc!B34=1,29,"")</f>
        <v/>
      </c>
      <c r="B34" s="6" t="str">
        <f aca="false">IF(Calc!B34=0,"",IF(Inputs!B51&lt;&gt;"",Inputs!B51,"Agent "&amp;29))</f>
        <v/>
      </c>
      <c r="C34" s="13" t="str">
        <f aca="false">IF(Calc!$B34=0,"",IF(Calc!F$3=0,"Closed",IF(Calc!F34=0,"Off",TEXT(MOD(Calc!T34,1),"h:mm AM/PM")&amp;IF(Calc!T34&gt;=1," (+1)","")&amp;" - "&amp;TEXT(MOD(Calc!AA34,1),"h:mm AM/PM")&amp;IF(Calc!AA34&gt;1," (+1)",""))))</f>
        <v/>
      </c>
      <c r="D34" s="13" t="str">
        <f aca="false">IF(Calc!$B34=0,"",IF(Calc!G$3=0,"Closed",IF(Calc!G34=0,"Off",TEXT(MOD(Calc!U34,1),"h:mm AM/PM")&amp;IF(Calc!U34&gt;=1," (+1)","")&amp;" - "&amp;TEXT(MOD(Calc!AB34,1),"h:mm AM/PM")&amp;IF(Calc!AB34&gt;1," (+1)",""))))</f>
        <v/>
      </c>
      <c r="E34" s="13" t="str">
        <f aca="false">IF(Calc!$B34=0,"",IF(Calc!H$3=0,"Closed",IF(Calc!H34=0,"Off",TEXT(MOD(Calc!V34,1),"h:mm AM/PM")&amp;IF(Calc!V34&gt;=1," (+1)","")&amp;" - "&amp;TEXT(MOD(Calc!AC34,1),"h:mm AM/PM")&amp;IF(Calc!AC34&gt;1," (+1)",""))))</f>
        <v/>
      </c>
      <c r="F34" s="13" t="str">
        <f aca="false">IF(Calc!$B34=0,"",IF(Calc!I$3=0,"Closed",IF(Calc!I34=0,"Off",TEXT(MOD(Calc!W34,1),"h:mm AM/PM")&amp;IF(Calc!W34&gt;=1," (+1)","")&amp;" - "&amp;TEXT(MOD(Calc!AD34,1),"h:mm AM/PM")&amp;IF(Calc!AD34&gt;1," (+1)",""))))</f>
        <v/>
      </c>
      <c r="G34" s="13" t="str">
        <f aca="false">IF(Calc!$B34=0,"",IF(Calc!J$3=0,"Closed",IF(Calc!J34=0,"Off",TEXT(MOD(Calc!X34,1),"h:mm AM/PM")&amp;IF(Calc!X34&gt;=1," (+1)","")&amp;" - "&amp;TEXT(MOD(Calc!AE34,1),"h:mm AM/PM")&amp;IF(Calc!AE34&gt;1," (+1)",""))))</f>
        <v/>
      </c>
      <c r="H34" s="13" t="str">
        <f aca="false">IF(Calc!$B34=0,"",IF(Calc!K$3=0,"Closed",IF(Calc!K34=0,"Off",TEXT(MOD(Calc!Y34,1),"h:mm AM/PM")&amp;IF(Calc!Y34&gt;=1," (+1)","")&amp;" - "&amp;TEXT(MOD(Calc!AF34,1),"h:mm AM/PM")&amp;IF(Calc!AF34&gt;1," (+1)",""))))</f>
        <v/>
      </c>
      <c r="I34" s="13" t="str">
        <f aca="false">IF(Calc!$B34=0,"",IF(Calc!L$3=0,"Closed",IF(Calc!L34=0,"Off",TEXT(MOD(Calc!Z34,1),"h:mm AM/PM")&amp;IF(Calc!Z34&gt;=1," (+1)","")&amp;" - "&amp;TEXT(MOD(Calc!AG34,1),"h:mm AM/PM")&amp;IF(Calc!AG34&gt;1," (+1)",""))))</f>
        <v/>
      </c>
      <c r="J34" s="12" t="str">
        <f aca="false">IF(Calc!B34=0,"",(SUM(Calc!AA34:AG34)-SUM(Calc!T34:Z34))*24)</f>
        <v/>
      </c>
      <c r="K34" s="6" t="str">
        <f aca="false">IF(Calc!B34=0,"",SUM(Calc!F34:L34))</f>
        <v/>
      </c>
      <c r="L34" s="6" t="str">
        <f aca="false">IF(Calc!B34=0,"",IF(Inputs!$B$6=0,"None",CHOOSE(Calc!D34+1,"Mon","Tue","Wed","Thu","Fri","Sat","Sun")&amp;" to "&amp;CHOOSE(MOD(Calc!D34+Inputs!$B$6-1,7)+1,"Mon","Tue","Wed","Thu","Fri","Sat","Sun")))</f>
        <v/>
      </c>
    </row>
    <row r="35" customFormat="false" ht="15" hidden="false" customHeight="false" outlineLevel="0" collapsed="false">
      <c r="A35" s="6" t="str">
        <f aca="false">IF(Calc!B35=1,30,"")</f>
        <v/>
      </c>
      <c r="B35" s="6" t="str">
        <f aca="false">IF(Calc!B35=0,"",IF(Inputs!B52&lt;&gt;"",Inputs!B52,"Agent "&amp;30))</f>
        <v/>
      </c>
      <c r="C35" s="13" t="str">
        <f aca="false">IF(Calc!$B35=0,"",IF(Calc!F$3=0,"Closed",IF(Calc!F35=0,"Off",TEXT(MOD(Calc!T35,1),"h:mm AM/PM")&amp;IF(Calc!T35&gt;=1," (+1)","")&amp;" - "&amp;TEXT(MOD(Calc!AA35,1),"h:mm AM/PM")&amp;IF(Calc!AA35&gt;1," (+1)",""))))</f>
        <v/>
      </c>
      <c r="D35" s="13" t="str">
        <f aca="false">IF(Calc!$B35=0,"",IF(Calc!G$3=0,"Closed",IF(Calc!G35=0,"Off",TEXT(MOD(Calc!U35,1),"h:mm AM/PM")&amp;IF(Calc!U35&gt;=1," (+1)","")&amp;" - "&amp;TEXT(MOD(Calc!AB35,1),"h:mm AM/PM")&amp;IF(Calc!AB35&gt;1," (+1)",""))))</f>
        <v/>
      </c>
      <c r="E35" s="13" t="str">
        <f aca="false">IF(Calc!$B35=0,"",IF(Calc!H$3=0,"Closed",IF(Calc!H35=0,"Off",TEXT(MOD(Calc!V35,1),"h:mm AM/PM")&amp;IF(Calc!V35&gt;=1," (+1)","")&amp;" - "&amp;TEXT(MOD(Calc!AC35,1),"h:mm AM/PM")&amp;IF(Calc!AC35&gt;1," (+1)",""))))</f>
        <v/>
      </c>
      <c r="F35" s="13" t="str">
        <f aca="false">IF(Calc!$B35=0,"",IF(Calc!I$3=0,"Closed",IF(Calc!I35=0,"Off",TEXT(MOD(Calc!W35,1),"h:mm AM/PM")&amp;IF(Calc!W35&gt;=1," (+1)","")&amp;" - "&amp;TEXT(MOD(Calc!AD35,1),"h:mm AM/PM")&amp;IF(Calc!AD35&gt;1," (+1)",""))))</f>
        <v/>
      </c>
      <c r="G35" s="13" t="str">
        <f aca="false">IF(Calc!$B35=0,"",IF(Calc!J$3=0,"Closed",IF(Calc!J35=0,"Off",TEXT(MOD(Calc!X35,1),"h:mm AM/PM")&amp;IF(Calc!X35&gt;=1," (+1)","")&amp;" - "&amp;TEXT(MOD(Calc!AE35,1),"h:mm AM/PM")&amp;IF(Calc!AE35&gt;1," (+1)",""))))</f>
        <v/>
      </c>
      <c r="H35" s="13" t="str">
        <f aca="false">IF(Calc!$B35=0,"",IF(Calc!K$3=0,"Closed",IF(Calc!K35=0,"Off",TEXT(MOD(Calc!Y35,1),"h:mm AM/PM")&amp;IF(Calc!Y35&gt;=1," (+1)","")&amp;" - "&amp;TEXT(MOD(Calc!AF35,1),"h:mm AM/PM")&amp;IF(Calc!AF35&gt;1," (+1)",""))))</f>
        <v/>
      </c>
      <c r="I35" s="13" t="str">
        <f aca="false">IF(Calc!$B35=0,"",IF(Calc!L$3=0,"Closed",IF(Calc!L35=0,"Off",TEXT(MOD(Calc!Z35,1),"h:mm AM/PM")&amp;IF(Calc!Z35&gt;=1," (+1)","")&amp;" - "&amp;TEXT(MOD(Calc!AG35,1),"h:mm AM/PM")&amp;IF(Calc!AG35&gt;1," (+1)",""))))</f>
        <v/>
      </c>
      <c r="J35" s="12" t="str">
        <f aca="false">IF(Calc!B35=0,"",(SUM(Calc!AA35:AG35)-SUM(Calc!T35:Z35))*24)</f>
        <v/>
      </c>
      <c r="K35" s="6" t="str">
        <f aca="false">IF(Calc!B35=0,"",SUM(Calc!F35:L35))</f>
        <v/>
      </c>
      <c r="L35" s="6" t="str">
        <f aca="false">IF(Calc!B35=0,"",IF(Inputs!$B$6=0,"None",CHOOSE(Calc!D35+1,"Mon","Tue","Wed","Thu","Fri","Sat","Sun")&amp;" to "&amp;CHOOSE(MOD(Calc!D35+Inputs!$B$6-1,7)+1,"Mon","Tue","Wed","Thu","Fri","Sat","Sun")))</f>
        <v/>
      </c>
    </row>
    <row r="36" customFormat="false" ht="15" hidden="false" customHeight="false" outlineLevel="0" collapsed="false">
      <c r="A36" s="6" t="str">
        <f aca="false">IF(Calc!B36=1,31,"")</f>
        <v/>
      </c>
      <c r="B36" s="6" t="str">
        <f aca="false">IF(Calc!B36=0,"",IF(Inputs!B53&lt;&gt;"",Inputs!B53,"Agent "&amp;31))</f>
        <v/>
      </c>
      <c r="C36" s="13" t="str">
        <f aca="false">IF(Calc!$B36=0,"",IF(Calc!F$3=0,"Closed",IF(Calc!F36=0,"Off",TEXT(MOD(Calc!T36,1),"h:mm AM/PM")&amp;IF(Calc!T36&gt;=1," (+1)","")&amp;" - "&amp;TEXT(MOD(Calc!AA36,1),"h:mm AM/PM")&amp;IF(Calc!AA36&gt;1," (+1)",""))))</f>
        <v/>
      </c>
      <c r="D36" s="13" t="str">
        <f aca="false">IF(Calc!$B36=0,"",IF(Calc!G$3=0,"Closed",IF(Calc!G36=0,"Off",TEXT(MOD(Calc!U36,1),"h:mm AM/PM")&amp;IF(Calc!U36&gt;=1," (+1)","")&amp;" - "&amp;TEXT(MOD(Calc!AB36,1),"h:mm AM/PM")&amp;IF(Calc!AB36&gt;1," (+1)",""))))</f>
        <v/>
      </c>
      <c r="E36" s="13" t="str">
        <f aca="false">IF(Calc!$B36=0,"",IF(Calc!H$3=0,"Closed",IF(Calc!H36=0,"Off",TEXT(MOD(Calc!V36,1),"h:mm AM/PM")&amp;IF(Calc!V36&gt;=1," (+1)","")&amp;" - "&amp;TEXT(MOD(Calc!AC36,1),"h:mm AM/PM")&amp;IF(Calc!AC36&gt;1," (+1)",""))))</f>
        <v/>
      </c>
      <c r="F36" s="13" t="str">
        <f aca="false">IF(Calc!$B36=0,"",IF(Calc!I$3=0,"Closed",IF(Calc!I36=0,"Off",TEXT(MOD(Calc!W36,1),"h:mm AM/PM")&amp;IF(Calc!W36&gt;=1," (+1)","")&amp;" - "&amp;TEXT(MOD(Calc!AD36,1),"h:mm AM/PM")&amp;IF(Calc!AD36&gt;1," (+1)",""))))</f>
        <v/>
      </c>
      <c r="G36" s="13" t="str">
        <f aca="false">IF(Calc!$B36=0,"",IF(Calc!J$3=0,"Closed",IF(Calc!J36=0,"Off",TEXT(MOD(Calc!X36,1),"h:mm AM/PM")&amp;IF(Calc!X36&gt;=1," (+1)","")&amp;" - "&amp;TEXT(MOD(Calc!AE36,1),"h:mm AM/PM")&amp;IF(Calc!AE36&gt;1," (+1)",""))))</f>
        <v/>
      </c>
      <c r="H36" s="13" t="str">
        <f aca="false">IF(Calc!$B36=0,"",IF(Calc!K$3=0,"Closed",IF(Calc!K36=0,"Off",TEXT(MOD(Calc!Y36,1),"h:mm AM/PM")&amp;IF(Calc!Y36&gt;=1," (+1)","")&amp;" - "&amp;TEXT(MOD(Calc!AF36,1),"h:mm AM/PM")&amp;IF(Calc!AF36&gt;1," (+1)",""))))</f>
        <v/>
      </c>
      <c r="I36" s="13" t="str">
        <f aca="false">IF(Calc!$B36=0,"",IF(Calc!L$3=0,"Closed",IF(Calc!L36=0,"Off",TEXT(MOD(Calc!Z36,1),"h:mm AM/PM")&amp;IF(Calc!Z36&gt;=1," (+1)","")&amp;" - "&amp;TEXT(MOD(Calc!AG36,1),"h:mm AM/PM")&amp;IF(Calc!AG36&gt;1," (+1)",""))))</f>
        <v/>
      </c>
      <c r="J36" s="12" t="str">
        <f aca="false">IF(Calc!B36=0,"",(SUM(Calc!AA36:AG36)-SUM(Calc!T36:Z36))*24)</f>
        <v/>
      </c>
      <c r="K36" s="6" t="str">
        <f aca="false">IF(Calc!B36=0,"",SUM(Calc!F36:L36))</f>
        <v/>
      </c>
      <c r="L36" s="6" t="str">
        <f aca="false">IF(Calc!B36=0,"",IF(Inputs!$B$6=0,"None",CHOOSE(Calc!D36+1,"Mon","Tue","Wed","Thu","Fri","Sat","Sun")&amp;" to "&amp;CHOOSE(MOD(Calc!D36+Inputs!$B$6-1,7)+1,"Mon","Tue","Wed","Thu","Fri","Sat","Sun")))</f>
        <v/>
      </c>
    </row>
    <row r="37" customFormat="false" ht="15" hidden="false" customHeight="false" outlineLevel="0" collapsed="false">
      <c r="A37" s="6" t="str">
        <f aca="false">IF(Calc!B37=1,32,"")</f>
        <v/>
      </c>
      <c r="B37" s="6" t="str">
        <f aca="false">IF(Calc!B37=0,"",IF(Inputs!B54&lt;&gt;"",Inputs!B54,"Agent "&amp;32))</f>
        <v/>
      </c>
      <c r="C37" s="13" t="str">
        <f aca="false">IF(Calc!$B37=0,"",IF(Calc!F$3=0,"Closed",IF(Calc!F37=0,"Off",TEXT(MOD(Calc!T37,1),"h:mm AM/PM")&amp;IF(Calc!T37&gt;=1," (+1)","")&amp;" - "&amp;TEXT(MOD(Calc!AA37,1),"h:mm AM/PM")&amp;IF(Calc!AA37&gt;1," (+1)",""))))</f>
        <v/>
      </c>
      <c r="D37" s="13" t="str">
        <f aca="false">IF(Calc!$B37=0,"",IF(Calc!G$3=0,"Closed",IF(Calc!G37=0,"Off",TEXT(MOD(Calc!U37,1),"h:mm AM/PM")&amp;IF(Calc!U37&gt;=1," (+1)","")&amp;" - "&amp;TEXT(MOD(Calc!AB37,1),"h:mm AM/PM")&amp;IF(Calc!AB37&gt;1," (+1)",""))))</f>
        <v/>
      </c>
      <c r="E37" s="13" t="str">
        <f aca="false">IF(Calc!$B37=0,"",IF(Calc!H$3=0,"Closed",IF(Calc!H37=0,"Off",TEXT(MOD(Calc!V37,1),"h:mm AM/PM")&amp;IF(Calc!V37&gt;=1," (+1)","")&amp;" - "&amp;TEXT(MOD(Calc!AC37,1),"h:mm AM/PM")&amp;IF(Calc!AC37&gt;1," (+1)",""))))</f>
        <v/>
      </c>
      <c r="F37" s="13" t="str">
        <f aca="false">IF(Calc!$B37=0,"",IF(Calc!I$3=0,"Closed",IF(Calc!I37=0,"Off",TEXT(MOD(Calc!W37,1),"h:mm AM/PM")&amp;IF(Calc!W37&gt;=1," (+1)","")&amp;" - "&amp;TEXT(MOD(Calc!AD37,1),"h:mm AM/PM")&amp;IF(Calc!AD37&gt;1," (+1)",""))))</f>
        <v/>
      </c>
      <c r="G37" s="13" t="str">
        <f aca="false">IF(Calc!$B37=0,"",IF(Calc!J$3=0,"Closed",IF(Calc!J37=0,"Off",TEXT(MOD(Calc!X37,1),"h:mm AM/PM")&amp;IF(Calc!X37&gt;=1," (+1)","")&amp;" - "&amp;TEXT(MOD(Calc!AE37,1),"h:mm AM/PM")&amp;IF(Calc!AE37&gt;1," (+1)",""))))</f>
        <v/>
      </c>
      <c r="H37" s="13" t="str">
        <f aca="false">IF(Calc!$B37=0,"",IF(Calc!K$3=0,"Closed",IF(Calc!K37=0,"Off",TEXT(MOD(Calc!Y37,1),"h:mm AM/PM")&amp;IF(Calc!Y37&gt;=1," (+1)","")&amp;" - "&amp;TEXT(MOD(Calc!AF37,1),"h:mm AM/PM")&amp;IF(Calc!AF37&gt;1," (+1)",""))))</f>
        <v/>
      </c>
      <c r="I37" s="13" t="str">
        <f aca="false">IF(Calc!$B37=0,"",IF(Calc!L$3=0,"Closed",IF(Calc!L37=0,"Off",TEXT(MOD(Calc!Z37,1),"h:mm AM/PM")&amp;IF(Calc!Z37&gt;=1," (+1)","")&amp;" - "&amp;TEXT(MOD(Calc!AG37,1),"h:mm AM/PM")&amp;IF(Calc!AG37&gt;1," (+1)",""))))</f>
        <v/>
      </c>
      <c r="J37" s="12" t="str">
        <f aca="false">IF(Calc!B37=0,"",(SUM(Calc!AA37:AG37)-SUM(Calc!T37:Z37))*24)</f>
        <v/>
      </c>
      <c r="K37" s="6" t="str">
        <f aca="false">IF(Calc!B37=0,"",SUM(Calc!F37:L37))</f>
        <v/>
      </c>
      <c r="L37" s="6" t="str">
        <f aca="false">IF(Calc!B37=0,"",IF(Inputs!$B$6=0,"None",CHOOSE(Calc!D37+1,"Mon","Tue","Wed","Thu","Fri","Sat","Sun")&amp;" to "&amp;CHOOSE(MOD(Calc!D37+Inputs!$B$6-1,7)+1,"Mon","Tue","Wed","Thu","Fri","Sat","Sun")))</f>
        <v/>
      </c>
    </row>
    <row r="38" customFormat="false" ht="15" hidden="false" customHeight="false" outlineLevel="0" collapsed="false">
      <c r="A38" s="6" t="str">
        <f aca="false">IF(Calc!B38=1,33,"")</f>
        <v/>
      </c>
      <c r="B38" s="6" t="str">
        <f aca="false">IF(Calc!B38=0,"",IF(Inputs!B55&lt;&gt;"",Inputs!B55,"Agent "&amp;33))</f>
        <v/>
      </c>
      <c r="C38" s="13" t="str">
        <f aca="false">IF(Calc!$B38=0,"",IF(Calc!F$3=0,"Closed",IF(Calc!F38=0,"Off",TEXT(MOD(Calc!T38,1),"h:mm AM/PM")&amp;IF(Calc!T38&gt;=1," (+1)","")&amp;" - "&amp;TEXT(MOD(Calc!AA38,1),"h:mm AM/PM")&amp;IF(Calc!AA38&gt;1," (+1)",""))))</f>
        <v/>
      </c>
      <c r="D38" s="13" t="str">
        <f aca="false">IF(Calc!$B38=0,"",IF(Calc!G$3=0,"Closed",IF(Calc!G38=0,"Off",TEXT(MOD(Calc!U38,1),"h:mm AM/PM")&amp;IF(Calc!U38&gt;=1," (+1)","")&amp;" - "&amp;TEXT(MOD(Calc!AB38,1),"h:mm AM/PM")&amp;IF(Calc!AB38&gt;1," (+1)",""))))</f>
        <v/>
      </c>
      <c r="E38" s="13" t="str">
        <f aca="false">IF(Calc!$B38=0,"",IF(Calc!H$3=0,"Closed",IF(Calc!H38=0,"Off",TEXT(MOD(Calc!V38,1),"h:mm AM/PM")&amp;IF(Calc!V38&gt;=1," (+1)","")&amp;" - "&amp;TEXT(MOD(Calc!AC38,1),"h:mm AM/PM")&amp;IF(Calc!AC38&gt;1," (+1)",""))))</f>
        <v/>
      </c>
      <c r="F38" s="13" t="str">
        <f aca="false">IF(Calc!$B38=0,"",IF(Calc!I$3=0,"Closed",IF(Calc!I38=0,"Off",TEXT(MOD(Calc!W38,1),"h:mm AM/PM")&amp;IF(Calc!W38&gt;=1," (+1)","")&amp;" - "&amp;TEXT(MOD(Calc!AD38,1),"h:mm AM/PM")&amp;IF(Calc!AD38&gt;1," (+1)",""))))</f>
        <v/>
      </c>
      <c r="G38" s="13" t="str">
        <f aca="false">IF(Calc!$B38=0,"",IF(Calc!J$3=0,"Closed",IF(Calc!J38=0,"Off",TEXT(MOD(Calc!X38,1),"h:mm AM/PM")&amp;IF(Calc!X38&gt;=1," (+1)","")&amp;" - "&amp;TEXT(MOD(Calc!AE38,1),"h:mm AM/PM")&amp;IF(Calc!AE38&gt;1," (+1)",""))))</f>
        <v/>
      </c>
      <c r="H38" s="13" t="str">
        <f aca="false">IF(Calc!$B38=0,"",IF(Calc!K$3=0,"Closed",IF(Calc!K38=0,"Off",TEXT(MOD(Calc!Y38,1),"h:mm AM/PM")&amp;IF(Calc!Y38&gt;=1," (+1)","")&amp;" - "&amp;TEXT(MOD(Calc!AF38,1),"h:mm AM/PM")&amp;IF(Calc!AF38&gt;1," (+1)",""))))</f>
        <v/>
      </c>
      <c r="I38" s="13" t="str">
        <f aca="false">IF(Calc!$B38=0,"",IF(Calc!L$3=0,"Closed",IF(Calc!L38=0,"Off",TEXT(MOD(Calc!Z38,1),"h:mm AM/PM")&amp;IF(Calc!Z38&gt;=1," (+1)","")&amp;" - "&amp;TEXT(MOD(Calc!AG38,1),"h:mm AM/PM")&amp;IF(Calc!AG38&gt;1," (+1)",""))))</f>
        <v/>
      </c>
      <c r="J38" s="12" t="str">
        <f aca="false">IF(Calc!B38=0,"",(SUM(Calc!AA38:AG38)-SUM(Calc!T38:Z38))*24)</f>
        <v/>
      </c>
      <c r="K38" s="6" t="str">
        <f aca="false">IF(Calc!B38=0,"",SUM(Calc!F38:L38))</f>
        <v/>
      </c>
      <c r="L38" s="6" t="str">
        <f aca="false">IF(Calc!B38=0,"",IF(Inputs!$B$6=0,"None",CHOOSE(Calc!D38+1,"Mon","Tue","Wed","Thu","Fri","Sat","Sun")&amp;" to "&amp;CHOOSE(MOD(Calc!D38+Inputs!$B$6-1,7)+1,"Mon","Tue","Wed","Thu","Fri","Sat","Sun")))</f>
        <v/>
      </c>
    </row>
    <row r="39" customFormat="false" ht="15" hidden="false" customHeight="false" outlineLevel="0" collapsed="false">
      <c r="A39" s="6" t="str">
        <f aca="false">IF(Calc!B39=1,34,"")</f>
        <v/>
      </c>
      <c r="B39" s="6" t="str">
        <f aca="false">IF(Calc!B39=0,"",IF(Inputs!B56&lt;&gt;"",Inputs!B56,"Agent "&amp;34))</f>
        <v/>
      </c>
      <c r="C39" s="13" t="str">
        <f aca="false">IF(Calc!$B39=0,"",IF(Calc!F$3=0,"Closed",IF(Calc!F39=0,"Off",TEXT(MOD(Calc!T39,1),"h:mm AM/PM")&amp;IF(Calc!T39&gt;=1," (+1)","")&amp;" - "&amp;TEXT(MOD(Calc!AA39,1),"h:mm AM/PM")&amp;IF(Calc!AA39&gt;1," (+1)",""))))</f>
        <v/>
      </c>
      <c r="D39" s="13" t="str">
        <f aca="false">IF(Calc!$B39=0,"",IF(Calc!G$3=0,"Closed",IF(Calc!G39=0,"Off",TEXT(MOD(Calc!U39,1),"h:mm AM/PM")&amp;IF(Calc!U39&gt;=1," (+1)","")&amp;" - "&amp;TEXT(MOD(Calc!AB39,1),"h:mm AM/PM")&amp;IF(Calc!AB39&gt;1," (+1)",""))))</f>
        <v/>
      </c>
      <c r="E39" s="13" t="str">
        <f aca="false">IF(Calc!$B39=0,"",IF(Calc!H$3=0,"Closed",IF(Calc!H39=0,"Off",TEXT(MOD(Calc!V39,1),"h:mm AM/PM")&amp;IF(Calc!V39&gt;=1," (+1)","")&amp;" - "&amp;TEXT(MOD(Calc!AC39,1),"h:mm AM/PM")&amp;IF(Calc!AC39&gt;1," (+1)",""))))</f>
        <v/>
      </c>
      <c r="F39" s="13" t="str">
        <f aca="false">IF(Calc!$B39=0,"",IF(Calc!I$3=0,"Closed",IF(Calc!I39=0,"Off",TEXT(MOD(Calc!W39,1),"h:mm AM/PM")&amp;IF(Calc!W39&gt;=1," (+1)","")&amp;" - "&amp;TEXT(MOD(Calc!AD39,1),"h:mm AM/PM")&amp;IF(Calc!AD39&gt;1," (+1)",""))))</f>
        <v/>
      </c>
      <c r="G39" s="13" t="str">
        <f aca="false">IF(Calc!$B39=0,"",IF(Calc!J$3=0,"Closed",IF(Calc!J39=0,"Off",TEXT(MOD(Calc!X39,1),"h:mm AM/PM")&amp;IF(Calc!X39&gt;=1," (+1)","")&amp;" - "&amp;TEXT(MOD(Calc!AE39,1),"h:mm AM/PM")&amp;IF(Calc!AE39&gt;1," (+1)",""))))</f>
        <v/>
      </c>
      <c r="H39" s="13" t="str">
        <f aca="false">IF(Calc!$B39=0,"",IF(Calc!K$3=0,"Closed",IF(Calc!K39=0,"Off",TEXT(MOD(Calc!Y39,1),"h:mm AM/PM")&amp;IF(Calc!Y39&gt;=1," (+1)","")&amp;" - "&amp;TEXT(MOD(Calc!AF39,1),"h:mm AM/PM")&amp;IF(Calc!AF39&gt;1," (+1)",""))))</f>
        <v/>
      </c>
      <c r="I39" s="13" t="str">
        <f aca="false">IF(Calc!$B39=0,"",IF(Calc!L$3=0,"Closed",IF(Calc!L39=0,"Off",TEXT(MOD(Calc!Z39,1),"h:mm AM/PM")&amp;IF(Calc!Z39&gt;=1," (+1)","")&amp;" - "&amp;TEXT(MOD(Calc!AG39,1),"h:mm AM/PM")&amp;IF(Calc!AG39&gt;1," (+1)",""))))</f>
        <v/>
      </c>
      <c r="J39" s="12" t="str">
        <f aca="false">IF(Calc!B39=0,"",(SUM(Calc!AA39:AG39)-SUM(Calc!T39:Z39))*24)</f>
        <v/>
      </c>
      <c r="K39" s="6" t="str">
        <f aca="false">IF(Calc!B39=0,"",SUM(Calc!F39:L39))</f>
        <v/>
      </c>
      <c r="L39" s="6" t="str">
        <f aca="false">IF(Calc!B39=0,"",IF(Inputs!$B$6=0,"None",CHOOSE(Calc!D39+1,"Mon","Tue","Wed","Thu","Fri","Sat","Sun")&amp;" to "&amp;CHOOSE(MOD(Calc!D39+Inputs!$B$6-1,7)+1,"Mon","Tue","Wed","Thu","Fri","Sat","Sun")))</f>
        <v/>
      </c>
    </row>
    <row r="40" customFormat="false" ht="15" hidden="false" customHeight="false" outlineLevel="0" collapsed="false">
      <c r="A40" s="6" t="str">
        <f aca="false">IF(Calc!B40=1,35,"")</f>
        <v/>
      </c>
      <c r="B40" s="6" t="str">
        <f aca="false">IF(Calc!B40=0,"",IF(Inputs!B57&lt;&gt;"",Inputs!B57,"Agent "&amp;35))</f>
        <v/>
      </c>
      <c r="C40" s="13" t="str">
        <f aca="false">IF(Calc!$B40=0,"",IF(Calc!F$3=0,"Closed",IF(Calc!F40=0,"Off",TEXT(MOD(Calc!T40,1),"h:mm AM/PM")&amp;IF(Calc!T40&gt;=1," (+1)","")&amp;" - "&amp;TEXT(MOD(Calc!AA40,1),"h:mm AM/PM")&amp;IF(Calc!AA40&gt;1," (+1)",""))))</f>
        <v/>
      </c>
      <c r="D40" s="13" t="str">
        <f aca="false">IF(Calc!$B40=0,"",IF(Calc!G$3=0,"Closed",IF(Calc!G40=0,"Off",TEXT(MOD(Calc!U40,1),"h:mm AM/PM")&amp;IF(Calc!U40&gt;=1," (+1)","")&amp;" - "&amp;TEXT(MOD(Calc!AB40,1),"h:mm AM/PM")&amp;IF(Calc!AB40&gt;1," (+1)",""))))</f>
        <v/>
      </c>
      <c r="E40" s="13" t="str">
        <f aca="false">IF(Calc!$B40=0,"",IF(Calc!H$3=0,"Closed",IF(Calc!H40=0,"Off",TEXT(MOD(Calc!V40,1),"h:mm AM/PM")&amp;IF(Calc!V40&gt;=1," (+1)","")&amp;" - "&amp;TEXT(MOD(Calc!AC40,1),"h:mm AM/PM")&amp;IF(Calc!AC40&gt;1," (+1)",""))))</f>
        <v/>
      </c>
      <c r="F40" s="13" t="str">
        <f aca="false">IF(Calc!$B40=0,"",IF(Calc!I$3=0,"Closed",IF(Calc!I40=0,"Off",TEXT(MOD(Calc!W40,1),"h:mm AM/PM")&amp;IF(Calc!W40&gt;=1," (+1)","")&amp;" - "&amp;TEXT(MOD(Calc!AD40,1),"h:mm AM/PM")&amp;IF(Calc!AD40&gt;1," (+1)",""))))</f>
        <v/>
      </c>
      <c r="G40" s="13" t="str">
        <f aca="false">IF(Calc!$B40=0,"",IF(Calc!J$3=0,"Closed",IF(Calc!J40=0,"Off",TEXT(MOD(Calc!X40,1),"h:mm AM/PM")&amp;IF(Calc!X40&gt;=1," (+1)","")&amp;" - "&amp;TEXT(MOD(Calc!AE40,1),"h:mm AM/PM")&amp;IF(Calc!AE40&gt;1," (+1)",""))))</f>
        <v/>
      </c>
      <c r="H40" s="13" t="str">
        <f aca="false">IF(Calc!$B40=0,"",IF(Calc!K$3=0,"Closed",IF(Calc!K40=0,"Off",TEXT(MOD(Calc!Y40,1),"h:mm AM/PM")&amp;IF(Calc!Y40&gt;=1," (+1)","")&amp;" - "&amp;TEXT(MOD(Calc!AF40,1),"h:mm AM/PM")&amp;IF(Calc!AF40&gt;1," (+1)",""))))</f>
        <v/>
      </c>
      <c r="I40" s="13" t="str">
        <f aca="false">IF(Calc!$B40=0,"",IF(Calc!L$3=0,"Closed",IF(Calc!L40=0,"Off",TEXT(MOD(Calc!Z40,1),"h:mm AM/PM")&amp;IF(Calc!Z40&gt;=1," (+1)","")&amp;" - "&amp;TEXT(MOD(Calc!AG40,1),"h:mm AM/PM")&amp;IF(Calc!AG40&gt;1," (+1)",""))))</f>
        <v/>
      </c>
      <c r="J40" s="12" t="str">
        <f aca="false">IF(Calc!B40=0,"",(SUM(Calc!AA40:AG40)-SUM(Calc!T40:Z40))*24)</f>
        <v/>
      </c>
      <c r="K40" s="6" t="str">
        <f aca="false">IF(Calc!B40=0,"",SUM(Calc!F40:L40))</f>
        <v/>
      </c>
      <c r="L40" s="6" t="str">
        <f aca="false">IF(Calc!B40=0,"",IF(Inputs!$B$6=0,"None",CHOOSE(Calc!D40+1,"Mon","Tue","Wed","Thu","Fri","Sat","Sun")&amp;" to "&amp;CHOOSE(MOD(Calc!D40+Inputs!$B$6-1,7)+1,"Mon","Tue","Wed","Thu","Fri","Sat","Sun")))</f>
        <v/>
      </c>
    </row>
    <row r="41" customFormat="false" ht="15" hidden="false" customHeight="false" outlineLevel="0" collapsed="false">
      <c r="A41" s="6" t="str">
        <f aca="false">IF(Calc!B41=1,36,"")</f>
        <v/>
      </c>
      <c r="B41" s="6" t="str">
        <f aca="false">IF(Calc!B41=0,"",IF(Inputs!B58&lt;&gt;"",Inputs!B58,"Agent "&amp;36))</f>
        <v/>
      </c>
      <c r="C41" s="13" t="str">
        <f aca="false">IF(Calc!$B41=0,"",IF(Calc!F$3=0,"Closed",IF(Calc!F41=0,"Off",TEXT(MOD(Calc!T41,1),"h:mm AM/PM")&amp;IF(Calc!T41&gt;=1," (+1)","")&amp;" - "&amp;TEXT(MOD(Calc!AA41,1),"h:mm AM/PM")&amp;IF(Calc!AA41&gt;1," (+1)",""))))</f>
        <v/>
      </c>
      <c r="D41" s="13" t="str">
        <f aca="false">IF(Calc!$B41=0,"",IF(Calc!G$3=0,"Closed",IF(Calc!G41=0,"Off",TEXT(MOD(Calc!U41,1),"h:mm AM/PM")&amp;IF(Calc!U41&gt;=1," (+1)","")&amp;" - "&amp;TEXT(MOD(Calc!AB41,1),"h:mm AM/PM")&amp;IF(Calc!AB41&gt;1," (+1)",""))))</f>
        <v/>
      </c>
      <c r="E41" s="13" t="str">
        <f aca="false">IF(Calc!$B41=0,"",IF(Calc!H$3=0,"Closed",IF(Calc!H41=0,"Off",TEXT(MOD(Calc!V41,1),"h:mm AM/PM")&amp;IF(Calc!V41&gt;=1," (+1)","")&amp;" - "&amp;TEXT(MOD(Calc!AC41,1),"h:mm AM/PM")&amp;IF(Calc!AC41&gt;1," (+1)",""))))</f>
        <v/>
      </c>
      <c r="F41" s="13" t="str">
        <f aca="false">IF(Calc!$B41=0,"",IF(Calc!I$3=0,"Closed",IF(Calc!I41=0,"Off",TEXT(MOD(Calc!W41,1),"h:mm AM/PM")&amp;IF(Calc!W41&gt;=1," (+1)","")&amp;" - "&amp;TEXT(MOD(Calc!AD41,1),"h:mm AM/PM")&amp;IF(Calc!AD41&gt;1," (+1)",""))))</f>
        <v/>
      </c>
      <c r="G41" s="13" t="str">
        <f aca="false">IF(Calc!$B41=0,"",IF(Calc!J$3=0,"Closed",IF(Calc!J41=0,"Off",TEXT(MOD(Calc!X41,1),"h:mm AM/PM")&amp;IF(Calc!X41&gt;=1," (+1)","")&amp;" - "&amp;TEXT(MOD(Calc!AE41,1),"h:mm AM/PM")&amp;IF(Calc!AE41&gt;1," (+1)",""))))</f>
        <v/>
      </c>
      <c r="H41" s="13" t="str">
        <f aca="false">IF(Calc!$B41=0,"",IF(Calc!K$3=0,"Closed",IF(Calc!K41=0,"Off",TEXT(MOD(Calc!Y41,1),"h:mm AM/PM")&amp;IF(Calc!Y41&gt;=1," (+1)","")&amp;" - "&amp;TEXT(MOD(Calc!AF41,1),"h:mm AM/PM")&amp;IF(Calc!AF41&gt;1," (+1)",""))))</f>
        <v/>
      </c>
      <c r="I41" s="13" t="str">
        <f aca="false">IF(Calc!$B41=0,"",IF(Calc!L$3=0,"Closed",IF(Calc!L41=0,"Off",TEXT(MOD(Calc!Z41,1),"h:mm AM/PM")&amp;IF(Calc!Z41&gt;=1," (+1)","")&amp;" - "&amp;TEXT(MOD(Calc!AG41,1),"h:mm AM/PM")&amp;IF(Calc!AG41&gt;1," (+1)",""))))</f>
        <v/>
      </c>
      <c r="J41" s="12" t="str">
        <f aca="false">IF(Calc!B41=0,"",(SUM(Calc!AA41:AG41)-SUM(Calc!T41:Z41))*24)</f>
        <v/>
      </c>
      <c r="K41" s="6" t="str">
        <f aca="false">IF(Calc!B41=0,"",SUM(Calc!F41:L41))</f>
        <v/>
      </c>
      <c r="L41" s="6" t="str">
        <f aca="false">IF(Calc!B41=0,"",IF(Inputs!$B$6=0,"None",CHOOSE(Calc!D41+1,"Mon","Tue","Wed","Thu","Fri","Sat","Sun")&amp;" to "&amp;CHOOSE(MOD(Calc!D41+Inputs!$B$6-1,7)+1,"Mon","Tue","Wed","Thu","Fri","Sat","Sun")))</f>
        <v/>
      </c>
    </row>
    <row r="42" customFormat="false" ht="15" hidden="false" customHeight="false" outlineLevel="0" collapsed="false">
      <c r="A42" s="6" t="str">
        <f aca="false">IF(Calc!B42=1,37,"")</f>
        <v/>
      </c>
      <c r="B42" s="6" t="str">
        <f aca="false">IF(Calc!B42=0,"",IF(Inputs!B59&lt;&gt;"",Inputs!B59,"Agent "&amp;37))</f>
        <v/>
      </c>
      <c r="C42" s="13" t="str">
        <f aca="false">IF(Calc!$B42=0,"",IF(Calc!F$3=0,"Closed",IF(Calc!F42=0,"Off",TEXT(MOD(Calc!T42,1),"h:mm AM/PM")&amp;IF(Calc!T42&gt;=1," (+1)","")&amp;" - "&amp;TEXT(MOD(Calc!AA42,1),"h:mm AM/PM")&amp;IF(Calc!AA42&gt;1," (+1)",""))))</f>
        <v/>
      </c>
      <c r="D42" s="13" t="str">
        <f aca="false">IF(Calc!$B42=0,"",IF(Calc!G$3=0,"Closed",IF(Calc!G42=0,"Off",TEXT(MOD(Calc!U42,1),"h:mm AM/PM")&amp;IF(Calc!U42&gt;=1," (+1)","")&amp;" - "&amp;TEXT(MOD(Calc!AB42,1),"h:mm AM/PM")&amp;IF(Calc!AB42&gt;1," (+1)",""))))</f>
        <v/>
      </c>
      <c r="E42" s="13" t="str">
        <f aca="false">IF(Calc!$B42=0,"",IF(Calc!H$3=0,"Closed",IF(Calc!H42=0,"Off",TEXT(MOD(Calc!V42,1),"h:mm AM/PM")&amp;IF(Calc!V42&gt;=1," (+1)","")&amp;" - "&amp;TEXT(MOD(Calc!AC42,1),"h:mm AM/PM")&amp;IF(Calc!AC42&gt;1," (+1)",""))))</f>
        <v/>
      </c>
      <c r="F42" s="13" t="str">
        <f aca="false">IF(Calc!$B42=0,"",IF(Calc!I$3=0,"Closed",IF(Calc!I42=0,"Off",TEXT(MOD(Calc!W42,1),"h:mm AM/PM")&amp;IF(Calc!W42&gt;=1," (+1)","")&amp;" - "&amp;TEXT(MOD(Calc!AD42,1),"h:mm AM/PM")&amp;IF(Calc!AD42&gt;1," (+1)",""))))</f>
        <v/>
      </c>
      <c r="G42" s="13" t="str">
        <f aca="false">IF(Calc!$B42=0,"",IF(Calc!J$3=0,"Closed",IF(Calc!J42=0,"Off",TEXT(MOD(Calc!X42,1),"h:mm AM/PM")&amp;IF(Calc!X42&gt;=1," (+1)","")&amp;" - "&amp;TEXT(MOD(Calc!AE42,1),"h:mm AM/PM")&amp;IF(Calc!AE42&gt;1," (+1)",""))))</f>
        <v/>
      </c>
      <c r="H42" s="13" t="str">
        <f aca="false">IF(Calc!$B42=0,"",IF(Calc!K$3=0,"Closed",IF(Calc!K42=0,"Off",TEXT(MOD(Calc!Y42,1),"h:mm AM/PM")&amp;IF(Calc!Y42&gt;=1," (+1)","")&amp;" - "&amp;TEXT(MOD(Calc!AF42,1),"h:mm AM/PM")&amp;IF(Calc!AF42&gt;1," (+1)",""))))</f>
        <v/>
      </c>
      <c r="I42" s="13" t="str">
        <f aca="false">IF(Calc!$B42=0,"",IF(Calc!L$3=0,"Closed",IF(Calc!L42=0,"Off",TEXT(MOD(Calc!Z42,1),"h:mm AM/PM")&amp;IF(Calc!Z42&gt;=1," (+1)","")&amp;" - "&amp;TEXT(MOD(Calc!AG42,1),"h:mm AM/PM")&amp;IF(Calc!AG42&gt;1," (+1)",""))))</f>
        <v/>
      </c>
      <c r="J42" s="12" t="str">
        <f aca="false">IF(Calc!B42=0,"",(SUM(Calc!AA42:AG42)-SUM(Calc!T42:Z42))*24)</f>
        <v/>
      </c>
      <c r="K42" s="6" t="str">
        <f aca="false">IF(Calc!B42=0,"",SUM(Calc!F42:L42))</f>
        <v/>
      </c>
      <c r="L42" s="6" t="str">
        <f aca="false">IF(Calc!B42=0,"",IF(Inputs!$B$6=0,"None",CHOOSE(Calc!D42+1,"Mon","Tue","Wed","Thu","Fri","Sat","Sun")&amp;" to "&amp;CHOOSE(MOD(Calc!D42+Inputs!$B$6-1,7)+1,"Mon","Tue","Wed","Thu","Fri","Sat","Sun")))</f>
        <v/>
      </c>
    </row>
    <row r="43" customFormat="false" ht="15" hidden="false" customHeight="false" outlineLevel="0" collapsed="false">
      <c r="A43" s="6" t="str">
        <f aca="false">IF(Calc!B43=1,38,"")</f>
        <v/>
      </c>
      <c r="B43" s="6" t="str">
        <f aca="false">IF(Calc!B43=0,"",IF(Inputs!B60&lt;&gt;"",Inputs!B60,"Agent "&amp;38))</f>
        <v/>
      </c>
      <c r="C43" s="13" t="str">
        <f aca="false">IF(Calc!$B43=0,"",IF(Calc!F$3=0,"Closed",IF(Calc!F43=0,"Off",TEXT(MOD(Calc!T43,1),"h:mm AM/PM")&amp;IF(Calc!T43&gt;=1," (+1)","")&amp;" - "&amp;TEXT(MOD(Calc!AA43,1),"h:mm AM/PM")&amp;IF(Calc!AA43&gt;1," (+1)",""))))</f>
        <v/>
      </c>
      <c r="D43" s="13" t="str">
        <f aca="false">IF(Calc!$B43=0,"",IF(Calc!G$3=0,"Closed",IF(Calc!G43=0,"Off",TEXT(MOD(Calc!U43,1),"h:mm AM/PM")&amp;IF(Calc!U43&gt;=1," (+1)","")&amp;" - "&amp;TEXT(MOD(Calc!AB43,1),"h:mm AM/PM")&amp;IF(Calc!AB43&gt;1," (+1)",""))))</f>
        <v/>
      </c>
      <c r="E43" s="13" t="str">
        <f aca="false">IF(Calc!$B43=0,"",IF(Calc!H$3=0,"Closed",IF(Calc!H43=0,"Off",TEXT(MOD(Calc!V43,1),"h:mm AM/PM")&amp;IF(Calc!V43&gt;=1," (+1)","")&amp;" - "&amp;TEXT(MOD(Calc!AC43,1),"h:mm AM/PM")&amp;IF(Calc!AC43&gt;1," (+1)",""))))</f>
        <v/>
      </c>
      <c r="F43" s="13" t="str">
        <f aca="false">IF(Calc!$B43=0,"",IF(Calc!I$3=0,"Closed",IF(Calc!I43=0,"Off",TEXT(MOD(Calc!W43,1),"h:mm AM/PM")&amp;IF(Calc!W43&gt;=1," (+1)","")&amp;" - "&amp;TEXT(MOD(Calc!AD43,1),"h:mm AM/PM")&amp;IF(Calc!AD43&gt;1," (+1)",""))))</f>
        <v/>
      </c>
      <c r="G43" s="13" t="str">
        <f aca="false">IF(Calc!$B43=0,"",IF(Calc!J$3=0,"Closed",IF(Calc!J43=0,"Off",TEXT(MOD(Calc!X43,1),"h:mm AM/PM")&amp;IF(Calc!X43&gt;=1," (+1)","")&amp;" - "&amp;TEXT(MOD(Calc!AE43,1),"h:mm AM/PM")&amp;IF(Calc!AE43&gt;1," (+1)",""))))</f>
        <v/>
      </c>
      <c r="H43" s="13" t="str">
        <f aca="false">IF(Calc!$B43=0,"",IF(Calc!K$3=0,"Closed",IF(Calc!K43=0,"Off",TEXT(MOD(Calc!Y43,1),"h:mm AM/PM")&amp;IF(Calc!Y43&gt;=1," (+1)","")&amp;" - "&amp;TEXT(MOD(Calc!AF43,1),"h:mm AM/PM")&amp;IF(Calc!AF43&gt;1," (+1)",""))))</f>
        <v/>
      </c>
      <c r="I43" s="13" t="str">
        <f aca="false">IF(Calc!$B43=0,"",IF(Calc!L$3=0,"Closed",IF(Calc!L43=0,"Off",TEXT(MOD(Calc!Z43,1),"h:mm AM/PM")&amp;IF(Calc!Z43&gt;=1," (+1)","")&amp;" - "&amp;TEXT(MOD(Calc!AG43,1),"h:mm AM/PM")&amp;IF(Calc!AG43&gt;1," (+1)",""))))</f>
        <v/>
      </c>
      <c r="J43" s="12" t="str">
        <f aca="false">IF(Calc!B43=0,"",(SUM(Calc!AA43:AG43)-SUM(Calc!T43:Z43))*24)</f>
        <v/>
      </c>
      <c r="K43" s="6" t="str">
        <f aca="false">IF(Calc!B43=0,"",SUM(Calc!F43:L43))</f>
        <v/>
      </c>
      <c r="L43" s="6" t="str">
        <f aca="false">IF(Calc!B43=0,"",IF(Inputs!$B$6=0,"None",CHOOSE(Calc!D43+1,"Mon","Tue","Wed","Thu","Fri","Sat","Sun")&amp;" to "&amp;CHOOSE(MOD(Calc!D43+Inputs!$B$6-1,7)+1,"Mon","Tue","Wed","Thu","Fri","Sat","Sun")))</f>
        <v/>
      </c>
    </row>
    <row r="44" customFormat="false" ht="15" hidden="false" customHeight="false" outlineLevel="0" collapsed="false">
      <c r="A44" s="6" t="str">
        <f aca="false">IF(Calc!B44=1,39,"")</f>
        <v/>
      </c>
      <c r="B44" s="6" t="str">
        <f aca="false">IF(Calc!B44=0,"",IF(Inputs!B61&lt;&gt;"",Inputs!B61,"Agent "&amp;39))</f>
        <v/>
      </c>
      <c r="C44" s="13" t="str">
        <f aca="false">IF(Calc!$B44=0,"",IF(Calc!F$3=0,"Closed",IF(Calc!F44=0,"Off",TEXT(MOD(Calc!T44,1),"h:mm AM/PM")&amp;IF(Calc!T44&gt;=1," (+1)","")&amp;" - "&amp;TEXT(MOD(Calc!AA44,1),"h:mm AM/PM")&amp;IF(Calc!AA44&gt;1," (+1)",""))))</f>
        <v/>
      </c>
      <c r="D44" s="13" t="str">
        <f aca="false">IF(Calc!$B44=0,"",IF(Calc!G$3=0,"Closed",IF(Calc!G44=0,"Off",TEXT(MOD(Calc!U44,1),"h:mm AM/PM")&amp;IF(Calc!U44&gt;=1," (+1)","")&amp;" - "&amp;TEXT(MOD(Calc!AB44,1),"h:mm AM/PM")&amp;IF(Calc!AB44&gt;1," (+1)",""))))</f>
        <v/>
      </c>
      <c r="E44" s="13" t="str">
        <f aca="false">IF(Calc!$B44=0,"",IF(Calc!H$3=0,"Closed",IF(Calc!H44=0,"Off",TEXT(MOD(Calc!V44,1),"h:mm AM/PM")&amp;IF(Calc!V44&gt;=1," (+1)","")&amp;" - "&amp;TEXT(MOD(Calc!AC44,1),"h:mm AM/PM")&amp;IF(Calc!AC44&gt;1," (+1)",""))))</f>
        <v/>
      </c>
      <c r="F44" s="13" t="str">
        <f aca="false">IF(Calc!$B44=0,"",IF(Calc!I$3=0,"Closed",IF(Calc!I44=0,"Off",TEXT(MOD(Calc!W44,1),"h:mm AM/PM")&amp;IF(Calc!W44&gt;=1," (+1)","")&amp;" - "&amp;TEXT(MOD(Calc!AD44,1),"h:mm AM/PM")&amp;IF(Calc!AD44&gt;1," (+1)",""))))</f>
        <v/>
      </c>
      <c r="G44" s="13" t="str">
        <f aca="false">IF(Calc!$B44=0,"",IF(Calc!J$3=0,"Closed",IF(Calc!J44=0,"Off",TEXT(MOD(Calc!X44,1),"h:mm AM/PM")&amp;IF(Calc!X44&gt;=1," (+1)","")&amp;" - "&amp;TEXT(MOD(Calc!AE44,1),"h:mm AM/PM")&amp;IF(Calc!AE44&gt;1," (+1)",""))))</f>
        <v/>
      </c>
      <c r="H44" s="13" t="str">
        <f aca="false">IF(Calc!$B44=0,"",IF(Calc!K$3=0,"Closed",IF(Calc!K44=0,"Off",TEXT(MOD(Calc!Y44,1),"h:mm AM/PM")&amp;IF(Calc!Y44&gt;=1," (+1)","")&amp;" - "&amp;TEXT(MOD(Calc!AF44,1),"h:mm AM/PM")&amp;IF(Calc!AF44&gt;1," (+1)",""))))</f>
        <v/>
      </c>
      <c r="I44" s="13" t="str">
        <f aca="false">IF(Calc!$B44=0,"",IF(Calc!L$3=0,"Closed",IF(Calc!L44=0,"Off",TEXT(MOD(Calc!Z44,1),"h:mm AM/PM")&amp;IF(Calc!Z44&gt;=1," (+1)","")&amp;" - "&amp;TEXT(MOD(Calc!AG44,1),"h:mm AM/PM")&amp;IF(Calc!AG44&gt;1," (+1)",""))))</f>
        <v/>
      </c>
      <c r="J44" s="12" t="str">
        <f aca="false">IF(Calc!B44=0,"",(SUM(Calc!AA44:AG44)-SUM(Calc!T44:Z44))*24)</f>
        <v/>
      </c>
      <c r="K44" s="6" t="str">
        <f aca="false">IF(Calc!B44=0,"",SUM(Calc!F44:L44))</f>
        <v/>
      </c>
      <c r="L44" s="6" t="str">
        <f aca="false">IF(Calc!B44=0,"",IF(Inputs!$B$6=0,"None",CHOOSE(Calc!D44+1,"Mon","Tue","Wed","Thu","Fri","Sat","Sun")&amp;" to "&amp;CHOOSE(MOD(Calc!D44+Inputs!$B$6-1,7)+1,"Mon","Tue","Wed","Thu","Fri","Sat","Sun")))</f>
        <v/>
      </c>
    </row>
    <row r="45" customFormat="false" ht="15" hidden="false" customHeight="false" outlineLevel="0" collapsed="false">
      <c r="A45" s="6" t="str">
        <f aca="false">IF(Calc!B45=1,40,"")</f>
        <v/>
      </c>
      <c r="B45" s="6" t="str">
        <f aca="false">IF(Calc!B45=0,"",IF(Inputs!B62&lt;&gt;"",Inputs!B62,"Agent "&amp;40))</f>
        <v/>
      </c>
      <c r="C45" s="13" t="str">
        <f aca="false">IF(Calc!$B45=0,"",IF(Calc!F$3=0,"Closed",IF(Calc!F45=0,"Off",TEXT(MOD(Calc!T45,1),"h:mm AM/PM")&amp;IF(Calc!T45&gt;=1," (+1)","")&amp;" - "&amp;TEXT(MOD(Calc!AA45,1),"h:mm AM/PM")&amp;IF(Calc!AA45&gt;1," (+1)",""))))</f>
        <v/>
      </c>
      <c r="D45" s="13" t="str">
        <f aca="false">IF(Calc!$B45=0,"",IF(Calc!G$3=0,"Closed",IF(Calc!G45=0,"Off",TEXT(MOD(Calc!U45,1),"h:mm AM/PM")&amp;IF(Calc!U45&gt;=1," (+1)","")&amp;" - "&amp;TEXT(MOD(Calc!AB45,1),"h:mm AM/PM")&amp;IF(Calc!AB45&gt;1," (+1)",""))))</f>
        <v/>
      </c>
      <c r="E45" s="13" t="str">
        <f aca="false">IF(Calc!$B45=0,"",IF(Calc!H$3=0,"Closed",IF(Calc!H45=0,"Off",TEXT(MOD(Calc!V45,1),"h:mm AM/PM")&amp;IF(Calc!V45&gt;=1," (+1)","")&amp;" - "&amp;TEXT(MOD(Calc!AC45,1),"h:mm AM/PM")&amp;IF(Calc!AC45&gt;1," (+1)",""))))</f>
        <v/>
      </c>
      <c r="F45" s="13" t="str">
        <f aca="false">IF(Calc!$B45=0,"",IF(Calc!I$3=0,"Closed",IF(Calc!I45=0,"Off",TEXT(MOD(Calc!W45,1),"h:mm AM/PM")&amp;IF(Calc!W45&gt;=1," (+1)","")&amp;" - "&amp;TEXT(MOD(Calc!AD45,1),"h:mm AM/PM")&amp;IF(Calc!AD45&gt;1," (+1)",""))))</f>
        <v/>
      </c>
      <c r="G45" s="13" t="str">
        <f aca="false">IF(Calc!$B45=0,"",IF(Calc!J$3=0,"Closed",IF(Calc!J45=0,"Off",TEXT(MOD(Calc!X45,1),"h:mm AM/PM")&amp;IF(Calc!X45&gt;=1," (+1)","")&amp;" - "&amp;TEXT(MOD(Calc!AE45,1),"h:mm AM/PM")&amp;IF(Calc!AE45&gt;1," (+1)",""))))</f>
        <v/>
      </c>
      <c r="H45" s="13" t="str">
        <f aca="false">IF(Calc!$B45=0,"",IF(Calc!K$3=0,"Closed",IF(Calc!K45=0,"Off",TEXT(MOD(Calc!Y45,1),"h:mm AM/PM")&amp;IF(Calc!Y45&gt;=1," (+1)","")&amp;" - "&amp;TEXT(MOD(Calc!AF45,1),"h:mm AM/PM")&amp;IF(Calc!AF45&gt;1," (+1)",""))))</f>
        <v/>
      </c>
      <c r="I45" s="13" t="str">
        <f aca="false">IF(Calc!$B45=0,"",IF(Calc!L$3=0,"Closed",IF(Calc!L45=0,"Off",TEXT(MOD(Calc!Z45,1),"h:mm AM/PM")&amp;IF(Calc!Z45&gt;=1," (+1)","")&amp;" - "&amp;TEXT(MOD(Calc!AG45,1),"h:mm AM/PM")&amp;IF(Calc!AG45&gt;1," (+1)",""))))</f>
        <v/>
      </c>
      <c r="J45" s="12" t="str">
        <f aca="false">IF(Calc!B45=0,"",(SUM(Calc!AA45:AG45)-SUM(Calc!T45:Z45))*24)</f>
        <v/>
      </c>
      <c r="K45" s="6" t="str">
        <f aca="false">IF(Calc!B45=0,"",SUM(Calc!F45:L45))</f>
        <v/>
      </c>
      <c r="L45" s="6" t="str">
        <f aca="false">IF(Calc!B45=0,"",IF(Inputs!$B$6=0,"None",CHOOSE(Calc!D45+1,"Mon","Tue","Wed","Thu","Fri","Sat","Sun")&amp;" to "&amp;CHOOSE(MOD(Calc!D45+Inputs!$B$6-1,7)+1,"Mon","Tue","Wed","Thu","Fri","Sat","Sun")))</f>
        <v/>
      </c>
    </row>
    <row r="46" customFormat="false" ht="15" hidden="false" customHeight="false" outlineLevel="0" collapsed="false">
      <c r="A46" s="6" t="str">
        <f aca="false">IF(Calc!B46=1,41,"")</f>
        <v/>
      </c>
      <c r="B46" s="6" t="str">
        <f aca="false">IF(Calc!B46=0,"",IF(Inputs!B63&lt;&gt;"",Inputs!B63,"Agent "&amp;41))</f>
        <v/>
      </c>
      <c r="C46" s="13" t="str">
        <f aca="false">IF(Calc!$B46=0,"",IF(Calc!F$3=0,"Closed",IF(Calc!F46=0,"Off",TEXT(MOD(Calc!T46,1),"h:mm AM/PM")&amp;IF(Calc!T46&gt;=1," (+1)","")&amp;" - "&amp;TEXT(MOD(Calc!AA46,1),"h:mm AM/PM")&amp;IF(Calc!AA46&gt;1," (+1)",""))))</f>
        <v/>
      </c>
      <c r="D46" s="13" t="str">
        <f aca="false">IF(Calc!$B46=0,"",IF(Calc!G$3=0,"Closed",IF(Calc!G46=0,"Off",TEXT(MOD(Calc!U46,1),"h:mm AM/PM")&amp;IF(Calc!U46&gt;=1," (+1)","")&amp;" - "&amp;TEXT(MOD(Calc!AB46,1),"h:mm AM/PM")&amp;IF(Calc!AB46&gt;1," (+1)",""))))</f>
        <v/>
      </c>
      <c r="E46" s="13" t="str">
        <f aca="false">IF(Calc!$B46=0,"",IF(Calc!H$3=0,"Closed",IF(Calc!H46=0,"Off",TEXT(MOD(Calc!V46,1),"h:mm AM/PM")&amp;IF(Calc!V46&gt;=1," (+1)","")&amp;" - "&amp;TEXT(MOD(Calc!AC46,1),"h:mm AM/PM")&amp;IF(Calc!AC46&gt;1," (+1)",""))))</f>
        <v/>
      </c>
      <c r="F46" s="13" t="str">
        <f aca="false">IF(Calc!$B46=0,"",IF(Calc!I$3=0,"Closed",IF(Calc!I46=0,"Off",TEXT(MOD(Calc!W46,1),"h:mm AM/PM")&amp;IF(Calc!W46&gt;=1," (+1)","")&amp;" - "&amp;TEXT(MOD(Calc!AD46,1),"h:mm AM/PM")&amp;IF(Calc!AD46&gt;1," (+1)",""))))</f>
        <v/>
      </c>
      <c r="G46" s="13" t="str">
        <f aca="false">IF(Calc!$B46=0,"",IF(Calc!J$3=0,"Closed",IF(Calc!J46=0,"Off",TEXT(MOD(Calc!X46,1),"h:mm AM/PM")&amp;IF(Calc!X46&gt;=1," (+1)","")&amp;" - "&amp;TEXT(MOD(Calc!AE46,1),"h:mm AM/PM")&amp;IF(Calc!AE46&gt;1," (+1)",""))))</f>
        <v/>
      </c>
      <c r="H46" s="13" t="str">
        <f aca="false">IF(Calc!$B46=0,"",IF(Calc!K$3=0,"Closed",IF(Calc!K46=0,"Off",TEXT(MOD(Calc!Y46,1),"h:mm AM/PM")&amp;IF(Calc!Y46&gt;=1," (+1)","")&amp;" - "&amp;TEXT(MOD(Calc!AF46,1),"h:mm AM/PM")&amp;IF(Calc!AF46&gt;1," (+1)",""))))</f>
        <v/>
      </c>
      <c r="I46" s="13" t="str">
        <f aca="false">IF(Calc!$B46=0,"",IF(Calc!L$3=0,"Closed",IF(Calc!L46=0,"Off",TEXT(MOD(Calc!Z46,1),"h:mm AM/PM")&amp;IF(Calc!Z46&gt;=1," (+1)","")&amp;" - "&amp;TEXT(MOD(Calc!AG46,1),"h:mm AM/PM")&amp;IF(Calc!AG46&gt;1," (+1)",""))))</f>
        <v/>
      </c>
      <c r="J46" s="12" t="str">
        <f aca="false">IF(Calc!B46=0,"",(SUM(Calc!AA46:AG46)-SUM(Calc!T46:Z46))*24)</f>
        <v/>
      </c>
      <c r="K46" s="6" t="str">
        <f aca="false">IF(Calc!B46=0,"",SUM(Calc!F46:L46))</f>
        <v/>
      </c>
      <c r="L46" s="6" t="str">
        <f aca="false">IF(Calc!B46=0,"",IF(Inputs!$B$6=0,"None",CHOOSE(Calc!D46+1,"Mon","Tue","Wed","Thu","Fri","Sat","Sun")&amp;" to "&amp;CHOOSE(MOD(Calc!D46+Inputs!$B$6-1,7)+1,"Mon","Tue","Wed","Thu","Fri","Sat","Sun")))</f>
        <v/>
      </c>
    </row>
    <row r="47" customFormat="false" ht="15" hidden="false" customHeight="false" outlineLevel="0" collapsed="false">
      <c r="A47" s="6" t="str">
        <f aca="false">IF(Calc!B47=1,42,"")</f>
        <v/>
      </c>
      <c r="B47" s="6" t="str">
        <f aca="false">IF(Calc!B47=0,"",IF(Inputs!B64&lt;&gt;"",Inputs!B64,"Agent "&amp;42))</f>
        <v/>
      </c>
      <c r="C47" s="13" t="str">
        <f aca="false">IF(Calc!$B47=0,"",IF(Calc!F$3=0,"Closed",IF(Calc!F47=0,"Off",TEXT(MOD(Calc!T47,1),"h:mm AM/PM")&amp;IF(Calc!T47&gt;=1," (+1)","")&amp;" - "&amp;TEXT(MOD(Calc!AA47,1),"h:mm AM/PM")&amp;IF(Calc!AA47&gt;1," (+1)",""))))</f>
        <v/>
      </c>
      <c r="D47" s="13" t="str">
        <f aca="false">IF(Calc!$B47=0,"",IF(Calc!G$3=0,"Closed",IF(Calc!G47=0,"Off",TEXT(MOD(Calc!U47,1),"h:mm AM/PM")&amp;IF(Calc!U47&gt;=1," (+1)","")&amp;" - "&amp;TEXT(MOD(Calc!AB47,1),"h:mm AM/PM")&amp;IF(Calc!AB47&gt;1," (+1)",""))))</f>
        <v/>
      </c>
      <c r="E47" s="13" t="str">
        <f aca="false">IF(Calc!$B47=0,"",IF(Calc!H$3=0,"Closed",IF(Calc!H47=0,"Off",TEXT(MOD(Calc!V47,1),"h:mm AM/PM")&amp;IF(Calc!V47&gt;=1," (+1)","")&amp;" - "&amp;TEXT(MOD(Calc!AC47,1),"h:mm AM/PM")&amp;IF(Calc!AC47&gt;1," (+1)",""))))</f>
        <v/>
      </c>
      <c r="F47" s="13" t="str">
        <f aca="false">IF(Calc!$B47=0,"",IF(Calc!I$3=0,"Closed",IF(Calc!I47=0,"Off",TEXT(MOD(Calc!W47,1),"h:mm AM/PM")&amp;IF(Calc!W47&gt;=1," (+1)","")&amp;" - "&amp;TEXT(MOD(Calc!AD47,1),"h:mm AM/PM")&amp;IF(Calc!AD47&gt;1," (+1)",""))))</f>
        <v/>
      </c>
      <c r="G47" s="13" t="str">
        <f aca="false">IF(Calc!$B47=0,"",IF(Calc!J$3=0,"Closed",IF(Calc!J47=0,"Off",TEXT(MOD(Calc!X47,1),"h:mm AM/PM")&amp;IF(Calc!X47&gt;=1," (+1)","")&amp;" - "&amp;TEXT(MOD(Calc!AE47,1),"h:mm AM/PM")&amp;IF(Calc!AE47&gt;1," (+1)",""))))</f>
        <v/>
      </c>
      <c r="H47" s="13" t="str">
        <f aca="false">IF(Calc!$B47=0,"",IF(Calc!K$3=0,"Closed",IF(Calc!K47=0,"Off",TEXT(MOD(Calc!Y47,1),"h:mm AM/PM")&amp;IF(Calc!Y47&gt;=1," (+1)","")&amp;" - "&amp;TEXT(MOD(Calc!AF47,1),"h:mm AM/PM")&amp;IF(Calc!AF47&gt;1," (+1)",""))))</f>
        <v/>
      </c>
      <c r="I47" s="13" t="str">
        <f aca="false">IF(Calc!$B47=0,"",IF(Calc!L$3=0,"Closed",IF(Calc!L47=0,"Off",TEXT(MOD(Calc!Z47,1),"h:mm AM/PM")&amp;IF(Calc!Z47&gt;=1," (+1)","")&amp;" - "&amp;TEXT(MOD(Calc!AG47,1),"h:mm AM/PM")&amp;IF(Calc!AG47&gt;1," (+1)",""))))</f>
        <v/>
      </c>
      <c r="J47" s="12" t="str">
        <f aca="false">IF(Calc!B47=0,"",(SUM(Calc!AA47:AG47)-SUM(Calc!T47:Z47))*24)</f>
        <v/>
      </c>
      <c r="K47" s="6" t="str">
        <f aca="false">IF(Calc!B47=0,"",SUM(Calc!F47:L47))</f>
        <v/>
      </c>
      <c r="L47" s="6" t="str">
        <f aca="false">IF(Calc!B47=0,"",IF(Inputs!$B$6=0,"None",CHOOSE(Calc!D47+1,"Mon","Tue","Wed","Thu","Fri","Sat","Sun")&amp;" to "&amp;CHOOSE(MOD(Calc!D47+Inputs!$B$6-1,7)+1,"Mon","Tue","Wed","Thu","Fri","Sat","Sun")))</f>
        <v/>
      </c>
    </row>
    <row r="48" customFormat="false" ht="15" hidden="false" customHeight="false" outlineLevel="0" collapsed="false">
      <c r="A48" s="6" t="str">
        <f aca="false">IF(Calc!B48=1,43,"")</f>
        <v/>
      </c>
      <c r="B48" s="6" t="str">
        <f aca="false">IF(Calc!B48=0,"",IF(Inputs!B65&lt;&gt;"",Inputs!B65,"Agent "&amp;43))</f>
        <v/>
      </c>
      <c r="C48" s="13" t="str">
        <f aca="false">IF(Calc!$B48=0,"",IF(Calc!F$3=0,"Closed",IF(Calc!F48=0,"Off",TEXT(MOD(Calc!T48,1),"h:mm AM/PM")&amp;IF(Calc!T48&gt;=1," (+1)","")&amp;" - "&amp;TEXT(MOD(Calc!AA48,1),"h:mm AM/PM")&amp;IF(Calc!AA48&gt;1," (+1)",""))))</f>
        <v/>
      </c>
      <c r="D48" s="13" t="str">
        <f aca="false">IF(Calc!$B48=0,"",IF(Calc!G$3=0,"Closed",IF(Calc!G48=0,"Off",TEXT(MOD(Calc!U48,1),"h:mm AM/PM")&amp;IF(Calc!U48&gt;=1," (+1)","")&amp;" - "&amp;TEXT(MOD(Calc!AB48,1),"h:mm AM/PM")&amp;IF(Calc!AB48&gt;1," (+1)",""))))</f>
        <v/>
      </c>
      <c r="E48" s="13" t="str">
        <f aca="false">IF(Calc!$B48=0,"",IF(Calc!H$3=0,"Closed",IF(Calc!H48=0,"Off",TEXT(MOD(Calc!V48,1),"h:mm AM/PM")&amp;IF(Calc!V48&gt;=1," (+1)","")&amp;" - "&amp;TEXT(MOD(Calc!AC48,1),"h:mm AM/PM")&amp;IF(Calc!AC48&gt;1," (+1)",""))))</f>
        <v/>
      </c>
      <c r="F48" s="13" t="str">
        <f aca="false">IF(Calc!$B48=0,"",IF(Calc!I$3=0,"Closed",IF(Calc!I48=0,"Off",TEXT(MOD(Calc!W48,1),"h:mm AM/PM")&amp;IF(Calc!W48&gt;=1," (+1)","")&amp;" - "&amp;TEXT(MOD(Calc!AD48,1),"h:mm AM/PM")&amp;IF(Calc!AD48&gt;1," (+1)",""))))</f>
        <v/>
      </c>
      <c r="G48" s="13" t="str">
        <f aca="false">IF(Calc!$B48=0,"",IF(Calc!J$3=0,"Closed",IF(Calc!J48=0,"Off",TEXT(MOD(Calc!X48,1),"h:mm AM/PM")&amp;IF(Calc!X48&gt;=1," (+1)","")&amp;" - "&amp;TEXT(MOD(Calc!AE48,1),"h:mm AM/PM")&amp;IF(Calc!AE48&gt;1," (+1)",""))))</f>
        <v/>
      </c>
      <c r="H48" s="13" t="str">
        <f aca="false">IF(Calc!$B48=0,"",IF(Calc!K$3=0,"Closed",IF(Calc!K48=0,"Off",TEXT(MOD(Calc!Y48,1),"h:mm AM/PM")&amp;IF(Calc!Y48&gt;=1," (+1)","")&amp;" - "&amp;TEXT(MOD(Calc!AF48,1),"h:mm AM/PM")&amp;IF(Calc!AF48&gt;1," (+1)",""))))</f>
        <v/>
      </c>
      <c r="I48" s="13" t="str">
        <f aca="false">IF(Calc!$B48=0,"",IF(Calc!L$3=0,"Closed",IF(Calc!L48=0,"Off",TEXT(MOD(Calc!Z48,1),"h:mm AM/PM")&amp;IF(Calc!Z48&gt;=1," (+1)","")&amp;" - "&amp;TEXT(MOD(Calc!AG48,1),"h:mm AM/PM")&amp;IF(Calc!AG48&gt;1," (+1)",""))))</f>
        <v/>
      </c>
      <c r="J48" s="12" t="str">
        <f aca="false">IF(Calc!B48=0,"",(SUM(Calc!AA48:AG48)-SUM(Calc!T48:Z48))*24)</f>
        <v/>
      </c>
      <c r="K48" s="6" t="str">
        <f aca="false">IF(Calc!B48=0,"",SUM(Calc!F48:L48))</f>
        <v/>
      </c>
      <c r="L48" s="6" t="str">
        <f aca="false">IF(Calc!B48=0,"",IF(Inputs!$B$6=0,"None",CHOOSE(Calc!D48+1,"Mon","Tue","Wed","Thu","Fri","Sat","Sun")&amp;" to "&amp;CHOOSE(MOD(Calc!D48+Inputs!$B$6-1,7)+1,"Mon","Tue","Wed","Thu","Fri","Sat","Sun")))</f>
        <v/>
      </c>
    </row>
    <row r="49" customFormat="false" ht="15" hidden="false" customHeight="false" outlineLevel="0" collapsed="false">
      <c r="A49" s="6" t="str">
        <f aca="false">IF(Calc!B49=1,44,"")</f>
        <v/>
      </c>
      <c r="B49" s="6" t="str">
        <f aca="false">IF(Calc!B49=0,"",IF(Inputs!B66&lt;&gt;"",Inputs!B66,"Agent "&amp;44))</f>
        <v/>
      </c>
      <c r="C49" s="13" t="str">
        <f aca="false">IF(Calc!$B49=0,"",IF(Calc!F$3=0,"Closed",IF(Calc!F49=0,"Off",TEXT(MOD(Calc!T49,1),"h:mm AM/PM")&amp;IF(Calc!T49&gt;=1," (+1)","")&amp;" - "&amp;TEXT(MOD(Calc!AA49,1),"h:mm AM/PM")&amp;IF(Calc!AA49&gt;1," (+1)",""))))</f>
        <v/>
      </c>
      <c r="D49" s="13" t="str">
        <f aca="false">IF(Calc!$B49=0,"",IF(Calc!G$3=0,"Closed",IF(Calc!G49=0,"Off",TEXT(MOD(Calc!U49,1),"h:mm AM/PM")&amp;IF(Calc!U49&gt;=1," (+1)","")&amp;" - "&amp;TEXT(MOD(Calc!AB49,1),"h:mm AM/PM")&amp;IF(Calc!AB49&gt;1," (+1)",""))))</f>
        <v/>
      </c>
      <c r="E49" s="13" t="str">
        <f aca="false">IF(Calc!$B49=0,"",IF(Calc!H$3=0,"Closed",IF(Calc!H49=0,"Off",TEXT(MOD(Calc!V49,1),"h:mm AM/PM")&amp;IF(Calc!V49&gt;=1," (+1)","")&amp;" - "&amp;TEXT(MOD(Calc!AC49,1),"h:mm AM/PM")&amp;IF(Calc!AC49&gt;1," (+1)",""))))</f>
        <v/>
      </c>
      <c r="F49" s="13" t="str">
        <f aca="false">IF(Calc!$B49=0,"",IF(Calc!I$3=0,"Closed",IF(Calc!I49=0,"Off",TEXT(MOD(Calc!W49,1),"h:mm AM/PM")&amp;IF(Calc!W49&gt;=1," (+1)","")&amp;" - "&amp;TEXT(MOD(Calc!AD49,1),"h:mm AM/PM")&amp;IF(Calc!AD49&gt;1," (+1)",""))))</f>
        <v/>
      </c>
      <c r="G49" s="13" t="str">
        <f aca="false">IF(Calc!$B49=0,"",IF(Calc!J$3=0,"Closed",IF(Calc!J49=0,"Off",TEXT(MOD(Calc!X49,1),"h:mm AM/PM")&amp;IF(Calc!X49&gt;=1," (+1)","")&amp;" - "&amp;TEXT(MOD(Calc!AE49,1),"h:mm AM/PM")&amp;IF(Calc!AE49&gt;1," (+1)",""))))</f>
        <v/>
      </c>
      <c r="H49" s="13" t="str">
        <f aca="false">IF(Calc!$B49=0,"",IF(Calc!K$3=0,"Closed",IF(Calc!K49=0,"Off",TEXT(MOD(Calc!Y49,1),"h:mm AM/PM")&amp;IF(Calc!Y49&gt;=1," (+1)","")&amp;" - "&amp;TEXT(MOD(Calc!AF49,1),"h:mm AM/PM")&amp;IF(Calc!AF49&gt;1," (+1)",""))))</f>
        <v/>
      </c>
      <c r="I49" s="13" t="str">
        <f aca="false">IF(Calc!$B49=0,"",IF(Calc!L$3=0,"Closed",IF(Calc!L49=0,"Off",TEXT(MOD(Calc!Z49,1),"h:mm AM/PM")&amp;IF(Calc!Z49&gt;=1," (+1)","")&amp;" - "&amp;TEXT(MOD(Calc!AG49,1),"h:mm AM/PM")&amp;IF(Calc!AG49&gt;1," (+1)",""))))</f>
        <v/>
      </c>
      <c r="J49" s="12" t="str">
        <f aca="false">IF(Calc!B49=0,"",(SUM(Calc!AA49:AG49)-SUM(Calc!T49:Z49))*24)</f>
        <v/>
      </c>
      <c r="K49" s="6" t="str">
        <f aca="false">IF(Calc!B49=0,"",SUM(Calc!F49:L49))</f>
        <v/>
      </c>
      <c r="L49" s="6" t="str">
        <f aca="false">IF(Calc!B49=0,"",IF(Inputs!$B$6=0,"None",CHOOSE(Calc!D49+1,"Mon","Tue","Wed","Thu","Fri","Sat","Sun")&amp;" to "&amp;CHOOSE(MOD(Calc!D49+Inputs!$B$6-1,7)+1,"Mon","Tue","Wed","Thu","Fri","Sat","Sun")))</f>
        <v/>
      </c>
    </row>
    <row r="50" customFormat="false" ht="15" hidden="false" customHeight="false" outlineLevel="0" collapsed="false">
      <c r="A50" s="6" t="str">
        <f aca="false">IF(Calc!B50=1,45,"")</f>
        <v/>
      </c>
      <c r="B50" s="6" t="str">
        <f aca="false">IF(Calc!B50=0,"",IF(Inputs!B67&lt;&gt;"",Inputs!B67,"Agent "&amp;45))</f>
        <v/>
      </c>
      <c r="C50" s="13" t="str">
        <f aca="false">IF(Calc!$B50=0,"",IF(Calc!F$3=0,"Closed",IF(Calc!F50=0,"Off",TEXT(MOD(Calc!T50,1),"h:mm AM/PM")&amp;IF(Calc!T50&gt;=1," (+1)","")&amp;" - "&amp;TEXT(MOD(Calc!AA50,1),"h:mm AM/PM")&amp;IF(Calc!AA50&gt;1," (+1)",""))))</f>
        <v/>
      </c>
      <c r="D50" s="13" t="str">
        <f aca="false">IF(Calc!$B50=0,"",IF(Calc!G$3=0,"Closed",IF(Calc!G50=0,"Off",TEXT(MOD(Calc!U50,1),"h:mm AM/PM")&amp;IF(Calc!U50&gt;=1," (+1)","")&amp;" - "&amp;TEXT(MOD(Calc!AB50,1),"h:mm AM/PM")&amp;IF(Calc!AB50&gt;1," (+1)",""))))</f>
        <v/>
      </c>
      <c r="E50" s="13" t="str">
        <f aca="false">IF(Calc!$B50=0,"",IF(Calc!H$3=0,"Closed",IF(Calc!H50=0,"Off",TEXT(MOD(Calc!V50,1),"h:mm AM/PM")&amp;IF(Calc!V50&gt;=1," (+1)","")&amp;" - "&amp;TEXT(MOD(Calc!AC50,1),"h:mm AM/PM")&amp;IF(Calc!AC50&gt;1," (+1)",""))))</f>
        <v/>
      </c>
      <c r="F50" s="13" t="str">
        <f aca="false">IF(Calc!$B50=0,"",IF(Calc!I$3=0,"Closed",IF(Calc!I50=0,"Off",TEXT(MOD(Calc!W50,1),"h:mm AM/PM")&amp;IF(Calc!W50&gt;=1," (+1)","")&amp;" - "&amp;TEXT(MOD(Calc!AD50,1),"h:mm AM/PM")&amp;IF(Calc!AD50&gt;1," (+1)",""))))</f>
        <v/>
      </c>
      <c r="G50" s="13" t="str">
        <f aca="false">IF(Calc!$B50=0,"",IF(Calc!J$3=0,"Closed",IF(Calc!J50=0,"Off",TEXT(MOD(Calc!X50,1),"h:mm AM/PM")&amp;IF(Calc!X50&gt;=1," (+1)","")&amp;" - "&amp;TEXT(MOD(Calc!AE50,1),"h:mm AM/PM")&amp;IF(Calc!AE50&gt;1," (+1)",""))))</f>
        <v/>
      </c>
      <c r="H50" s="13" t="str">
        <f aca="false">IF(Calc!$B50=0,"",IF(Calc!K$3=0,"Closed",IF(Calc!K50=0,"Off",TEXT(MOD(Calc!Y50,1),"h:mm AM/PM")&amp;IF(Calc!Y50&gt;=1," (+1)","")&amp;" - "&amp;TEXT(MOD(Calc!AF50,1),"h:mm AM/PM")&amp;IF(Calc!AF50&gt;1," (+1)",""))))</f>
        <v/>
      </c>
      <c r="I50" s="13" t="str">
        <f aca="false">IF(Calc!$B50=0,"",IF(Calc!L$3=0,"Closed",IF(Calc!L50=0,"Off",TEXT(MOD(Calc!Z50,1),"h:mm AM/PM")&amp;IF(Calc!Z50&gt;=1," (+1)","")&amp;" - "&amp;TEXT(MOD(Calc!AG50,1),"h:mm AM/PM")&amp;IF(Calc!AG50&gt;1," (+1)",""))))</f>
        <v/>
      </c>
      <c r="J50" s="12" t="str">
        <f aca="false">IF(Calc!B50=0,"",(SUM(Calc!AA50:AG50)-SUM(Calc!T50:Z50))*24)</f>
        <v/>
      </c>
      <c r="K50" s="6" t="str">
        <f aca="false">IF(Calc!B50=0,"",SUM(Calc!F50:L50))</f>
        <v/>
      </c>
      <c r="L50" s="6" t="str">
        <f aca="false">IF(Calc!B50=0,"",IF(Inputs!$B$6=0,"None",CHOOSE(Calc!D50+1,"Mon","Tue","Wed","Thu","Fri","Sat","Sun")&amp;" to "&amp;CHOOSE(MOD(Calc!D50+Inputs!$B$6-1,7)+1,"Mon","Tue","Wed","Thu","Fri","Sat","Sun")))</f>
        <v/>
      </c>
    </row>
    <row r="51" customFormat="false" ht="15" hidden="false" customHeight="false" outlineLevel="0" collapsed="false">
      <c r="A51" s="6" t="str">
        <f aca="false">IF(Calc!B51=1,46,"")</f>
        <v/>
      </c>
      <c r="B51" s="6" t="str">
        <f aca="false">IF(Calc!B51=0,"",IF(Inputs!B68&lt;&gt;"",Inputs!B68,"Agent "&amp;46))</f>
        <v/>
      </c>
      <c r="C51" s="13" t="str">
        <f aca="false">IF(Calc!$B51=0,"",IF(Calc!F$3=0,"Closed",IF(Calc!F51=0,"Off",TEXT(MOD(Calc!T51,1),"h:mm AM/PM")&amp;IF(Calc!T51&gt;=1," (+1)","")&amp;" - "&amp;TEXT(MOD(Calc!AA51,1),"h:mm AM/PM")&amp;IF(Calc!AA51&gt;1," (+1)",""))))</f>
        <v/>
      </c>
      <c r="D51" s="13" t="str">
        <f aca="false">IF(Calc!$B51=0,"",IF(Calc!G$3=0,"Closed",IF(Calc!G51=0,"Off",TEXT(MOD(Calc!U51,1),"h:mm AM/PM")&amp;IF(Calc!U51&gt;=1," (+1)","")&amp;" - "&amp;TEXT(MOD(Calc!AB51,1),"h:mm AM/PM")&amp;IF(Calc!AB51&gt;1," (+1)",""))))</f>
        <v/>
      </c>
      <c r="E51" s="13" t="str">
        <f aca="false">IF(Calc!$B51=0,"",IF(Calc!H$3=0,"Closed",IF(Calc!H51=0,"Off",TEXT(MOD(Calc!V51,1),"h:mm AM/PM")&amp;IF(Calc!V51&gt;=1," (+1)","")&amp;" - "&amp;TEXT(MOD(Calc!AC51,1),"h:mm AM/PM")&amp;IF(Calc!AC51&gt;1," (+1)",""))))</f>
        <v/>
      </c>
      <c r="F51" s="13" t="str">
        <f aca="false">IF(Calc!$B51=0,"",IF(Calc!I$3=0,"Closed",IF(Calc!I51=0,"Off",TEXT(MOD(Calc!W51,1),"h:mm AM/PM")&amp;IF(Calc!W51&gt;=1," (+1)","")&amp;" - "&amp;TEXT(MOD(Calc!AD51,1),"h:mm AM/PM")&amp;IF(Calc!AD51&gt;1," (+1)",""))))</f>
        <v/>
      </c>
      <c r="G51" s="13" t="str">
        <f aca="false">IF(Calc!$B51=0,"",IF(Calc!J$3=0,"Closed",IF(Calc!J51=0,"Off",TEXT(MOD(Calc!X51,1),"h:mm AM/PM")&amp;IF(Calc!X51&gt;=1," (+1)","")&amp;" - "&amp;TEXT(MOD(Calc!AE51,1),"h:mm AM/PM")&amp;IF(Calc!AE51&gt;1," (+1)",""))))</f>
        <v/>
      </c>
      <c r="H51" s="13" t="str">
        <f aca="false">IF(Calc!$B51=0,"",IF(Calc!K$3=0,"Closed",IF(Calc!K51=0,"Off",TEXT(MOD(Calc!Y51,1),"h:mm AM/PM")&amp;IF(Calc!Y51&gt;=1," (+1)","")&amp;" - "&amp;TEXT(MOD(Calc!AF51,1),"h:mm AM/PM")&amp;IF(Calc!AF51&gt;1," (+1)",""))))</f>
        <v/>
      </c>
      <c r="I51" s="13" t="str">
        <f aca="false">IF(Calc!$B51=0,"",IF(Calc!L$3=0,"Closed",IF(Calc!L51=0,"Off",TEXT(MOD(Calc!Z51,1),"h:mm AM/PM")&amp;IF(Calc!Z51&gt;=1," (+1)","")&amp;" - "&amp;TEXT(MOD(Calc!AG51,1),"h:mm AM/PM")&amp;IF(Calc!AG51&gt;1," (+1)",""))))</f>
        <v/>
      </c>
      <c r="J51" s="12" t="str">
        <f aca="false">IF(Calc!B51=0,"",(SUM(Calc!AA51:AG51)-SUM(Calc!T51:Z51))*24)</f>
        <v/>
      </c>
      <c r="K51" s="6" t="str">
        <f aca="false">IF(Calc!B51=0,"",SUM(Calc!F51:L51))</f>
        <v/>
      </c>
      <c r="L51" s="6" t="str">
        <f aca="false">IF(Calc!B51=0,"",IF(Inputs!$B$6=0,"None",CHOOSE(Calc!D51+1,"Mon","Tue","Wed","Thu","Fri","Sat","Sun")&amp;" to "&amp;CHOOSE(MOD(Calc!D51+Inputs!$B$6-1,7)+1,"Mon","Tue","Wed","Thu","Fri","Sat","Sun")))</f>
        <v/>
      </c>
    </row>
    <row r="52" customFormat="false" ht="15" hidden="false" customHeight="false" outlineLevel="0" collapsed="false">
      <c r="A52" s="6" t="str">
        <f aca="false">IF(Calc!B52=1,47,"")</f>
        <v/>
      </c>
      <c r="B52" s="6" t="str">
        <f aca="false">IF(Calc!B52=0,"",IF(Inputs!B69&lt;&gt;"",Inputs!B69,"Agent "&amp;47))</f>
        <v/>
      </c>
      <c r="C52" s="13" t="str">
        <f aca="false">IF(Calc!$B52=0,"",IF(Calc!F$3=0,"Closed",IF(Calc!F52=0,"Off",TEXT(MOD(Calc!T52,1),"h:mm AM/PM")&amp;IF(Calc!T52&gt;=1," (+1)","")&amp;" - "&amp;TEXT(MOD(Calc!AA52,1),"h:mm AM/PM")&amp;IF(Calc!AA52&gt;1," (+1)",""))))</f>
        <v/>
      </c>
      <c r="D52" s="13" t="str">
        <f aca="false">IF(Calc!$B52=0,"",IF(Calc!G$3=0,"Closed",IF(Calc!G52=0,"Off",TEXT(MOD(Calc!U52,1),"h:mm AM/PM")&amp;IF(Calc!U52&gt;=1," (+1)","")&amp;" - "&amp;TEXT(MOD(Calc!AB52,1),"h:mm AM/PM")&amp;IF(Calc!AB52&gt;1," (+1)",""))))</f>
        <v/>
      </c>
      <c r="E52" s="13" t="str">
        <f aca="false">IF(Calc!$B52=0,"",IF(Calc!H$3=0,"Closed",IF(Calc!H52=0,"Off",TEXT(MOD(Calc!V52,1),"h:mm AM/PM")&amp;IF(Calc!V52&gt;=1," (+1)","")&amp;" - "&amp;TEXT(MOD(Calc!AC52,1),"h:mm AM/PM")&amp;IF(Calc!AC52&gt;1," (+1)",""))))</f>
        <v/>
      </c>
      <c r="F52" s="13" t="str">
        <f aca="false">IF(Calc!$B52=0,"",IF(Calc!I$3=0,"Closed",IF(Calc!I52=0,"Off",TEXT(MOD(Calc!W52,1),"h:mm AM/PM")&amp;IF(Calc!W52&gt;=1," (+1)","")&amp;" - "&amp;TEXT(MOD(Calc!AD52,1),"h:mm AM/PM")&amp;IF(Calc!AD52&gt;1," (+1)",""))))</f>
        <v/>
      </c>
      <c r="G52" s="13" t="str">
        <f aca="false">IF(Calc!$B52=0,"",IF(Calc!J$3=0,"Closed",IF(Calc!J52=0,"Off",TEXT(MOD(Calc!X52,1),"h:mm AM/PM")&amp;IF(Calc!X52&gt;=1," (+1)","")&amp;" - "&amp;TEXT(MOD(Calc!AE52,1),"h:mm AM/PM")&amp;IF(Calc!AE52&gt;1," (+1)",""))))</f>
        <v/>
      </c>
      <c r="H52" s="13" t="str">
        <f aca="false">IF(Calc!$B52=0,"",IF(Calc!K$3=0,"Closed",IF(Calc!K52=0,"Off",TEXT(MOD(Calc!Y52,1),"h:mm AM/PM")&amp;IF(Calc!Y52&gt;=1," (+1)","")&amp;" - "&amp;TEXT(MOD(Calc!AF52,1),"h:mm AM/PM")&amp;IF(Calc!AF52&gt;1," (+1)",""))))</f>
        <v/>
      </c>
      <c r="I52" s="13" t="str">
        <f aca="false">IF(Calc!$B52=0,"",IF(Calc!L$3=0,"Closed",IF(Calc!L52=0,"Off",TEXT(MOD(Calc!Z52,1),"h:mm AM/PM")&amp;IF(Calc!Z52&gt;=1," (+1)","")&amp;" - "&amp;TEXT(MOD(Calc!AG52,1),"h:mm AM/PM")&amp;IF(Calc!AG52&gt;1," (+1)",""))))</f>
        <v/>
      </c>
      <c r="J52" s="12" t="str">
        <f aca="false">IF(Calc!B52=0,"",(SUM(Calc!AA52:AG52)-SUM(Calc!T52:Z52))*24)</f>
        <v/>
      </c>
      <c r="K52" s="6" t="str">
        <f aca="false">IF(Calc!B52=0,"",SUM(Calc!F52:L52))</f>
        <v/>
      </c>
      <c r="L52" s="6" t="str">
        <f aca="false">IF(Calc!B52=0,"",IF(Inputs!$B$6=0,"None",CHOOSE(Calc!D52+1,"Mon","Tue","Wed","Thu","Fri","Sat","Sun")&amp;" to "&amp;CHOOSE(MOD(Calc!D52+Inputs!$B$6-1,7)+1,"Mon","Tue","Wed","Thu","Fri","Sat","Sun")))</f>
        <v/>
      </c>
    </row>
    <row r="53" customFormat="false" ht="15" hidden="false" customHeight="false" outlineLevel="0" collapsed="false">
      <c r="A53" s="6" t="str">
        <f aca="false">IF(Calc!B53=1,48,"")</f>
        <v/>
      </c>
      <c r="B53" s="6" t="str">
        <f aca="false">IF(Calc!B53=0,"",IF(Inputs!B70&lt;&gt;"",Inputs!B70,"Agent "&amp;48))</f>
        <v/>
      </c>
      <c r="C53" s="13" t="str">
        <f aca="false">IF(Calc!$B53=0,"",IF(Calc!F$3=0,"Closed",IF(Calc!F53=0,"Off",TEXT(MOD(Calc!T53,1),"h:mm AM/PM")&amp;IF(Calc!T53&gt;=1," (+1)","")&amp;" - "&amp;TEXT(MOD(Calc!AA53,1),"h:mm AM/PM")&amp;IF(Calc!AA53&gt;1," (+1)",""))))</f>
        <v/>
      </c>
      <c r="D53" s="13" t="str">
        <f aca="false">IF(Calc!$B53=0,"",IF(Calc!G$3=0,"Closed",IF(Calc!G53=0,"Off",TEXT(MOD(Calc!U53,1),"h:mm AM/PM")&amp;IF(Calc!U53&gt;=1," (+1)","")&amp;" - "&amp;TEXT(MOD(Calc!AB53,1),"h:mm AM/PM")&amp;IF(Calc!AB53&gt;1," (+1)",""))))</f>
        <v/>
      </c>
      <c r="E53" s="13" t="str">
        <f aca="false">IF(Calc!$B53=0,"",IF(Calc!H$3=0,"Closed",IF(Calc!H53=0,"Off",TEXT(MOD(Calc!V53,1),"h:mm AM/PM")&amp;IF(Calc!V53&gt;=1," (+1)","")&amp;" - "&amp;TEXT(MOD(Calc!AC53,1),"h:mm AM/PM")&amp;IF(Calc!AC53&gt;1," (+1)",""))))</f>
        <v/>
      </c>
      <c r="F53" s="13" t="str">
        <f aca="false">IF(Calc!$B53=0,"",IF(Calc!I$3=0,"Closed",IF(Calc!I53=0,"Off",TEXT(MOD(Calc!W53,1),"h:mm AM/PM")&amp;IF(Calc!W53&gt;=1," (+1)","")&amp;" - "&amp;TEXT(MOD(Calc!AD53,1),"h:mm AM/PM")&amp;IF(Calc!AD53&gt;1," (+1)",""))))</f>
        <v/>
      </c>
      <c r="G53" s="13" t="str">
        <f aca="false">IF(Calc!$B53=0,"",IF(Calc!J$3=0,"Closed",IF(Calc!J53=0,"Off",TEXT(MOD(Calc!X53,1),"h:mm AM/PM")&amp;IF(Calc!X53&gt;=1," (+1)","")&amp;" - "&amp;TEXT(MOD(Calc!AE53,1),"h:mm AM/PM")&amp;IF(Calc!AE53&gt;1," (+1)",""))))</f>
        <v/>
      </c>
      <c r="H53" s="13" t="str">
        <f aca="false">IF(Calc!$B53=0,"",IF(Calc!K$3=0,"Closed",IF(Calc!K53=0,"Off",TEXT(MOD(Calc!Y53,1),"h:mm AM/PM")&amp;IF(Calc!Y53&gt;=1," (+1)","")&amp;" - "&amp;TEXT(MOD(Calc!AF53,1),"h:mm AM/PM")&amp;IF(Calc!AF53&gt;1," (+1)",""))))</f>
        <v/>
      </c>
      <c r="I53" s="13" t="str">
        <f aca="false">IF(Calc!$B53=0,"",IF(Calc!L$3=0,"Closed",IF(Calc!L53=0,"Off",TEXT(MOD(Calc!Z53,1),"h:mm AM/PM")&amp;IF(Calc!Z53&gt;=1," (+1)","")&amp;" - "&amp;TEXT(MOD(Calc!AG53,1),"h:mm AM/PM")&amp;IF(Calc!AG53&gt;1," (+1)",""))))</f>
        <v/>
      </c>
      <c r="J53" s="12" t="str">
        <f aca="false">IF(Calc!B53=0,"",(SUM(Calc!AA53:AG53)-SUM(Calc!T53:Z53))*24)</f>
        <v/>
      </c>
      <c r="K53" s="6" t="str">
        <f aca="false">IF(Calc!B53=0,"",SUM(Calc!F53:L53))</f>
        <v/>
      </c>
      <c r="L53" s="6" t="str">
        <f aca="false">IF(Calc!B53=0,"",IF(Inputs!$B$6=0,"None",CHOOSE(Calc!D53+1,"Mon","Tue","Wed","Thu","Fri","Sat","Sun")&amp;" to "&amp;CHOOSE(MOD(Calc!D53+Inputs!$B$6-1,7)+1,"Mon","Tue","Wed","Thu","Fri","Sat","Sun")))</f>
        <v/>
      </c>
    </row>
    <row r="54" customFormat="false" ht="15" hidden="false" customHeight="false" outlineLevel="0" collapsed="false">
      <c r="A54" s="6" t="str">
        <f aca="false">IF(Calc!B54=1,49,"")</f>
        <v/>
      </c>
      <c r="B54" s="6" t="str">
        <f aca="false">IF(Calc!B54=0,"",IF(Inputs!B71&lt;&gt;"",Inputs!B71,"Agent "&amp;49))</f>
        <v/>
      </c>
      <c r="C54" s="13" t="str">
        <f aca="false">IF(Calc!$B54=0,"",IF(Calc!F$3=0,"Closed",IF(Calc!F54=0,"Off",TEXT(MOD(Calc!T54,1),"h:mm AM/PM")&amp;IF(Calc!T54&gt;=1," (+1)","")&amp;" - "&amp;TEXT(MOD(Calc!AA54,1),"h:mm AM/PM")&amp;IF(Calc!AA54&gt;1," (+1)",""))))</f>
        <v/>
      </c>
      <c r="D54" s="13" t="str">
        <f aca="false">IF(Calc!$B54=0,"",IF(Calc!G$3=0,"Closed",IF(Calc!G54=0,"Off",TEXT(MOD(Calc!U54,1),"h:mm AM/PM")&amp;IF(Calc!U54&gt;=1," (+1)","")&amp;" - "&amp;TEXT(MOD(Calc!AB54,1),"h:mm AM/PM")&amp;IF(Calc!AB54&gt;1," (+1)",""))))</f>
        <v/>
      </c>
      <c r="E54" s="13" t="str">
        <f aca="false">IF(Calc!$B54=0,"",IF(Calc!H$3=0,"Closed",IF(Calc!H54=0,"Off",TEXT(MOD(Calc!V54,1),"h:mm AM/PM")&amp;IF(Calc!V54&gt;=1," (+1)","")&amp;" - "&amp;TEXT(MOD(Calc!AC54,1),"h:mm AM/PM")&amp;IF(Calc!AC54&gt;1," (+1)",""))))</f>
        <v/>
      </c>
      <c r="F54" s="13" t="str">
        <f aca="false">IF(Calc!$B54=0,"",IF(Calc!I$3=0,"Closed",IF(Calc!I54=0,"Off",TEXT(MOD(Calc!W54,1),"h:mm AM/PM")&amp;IF(Calc!W54&gt;=1," (+1)","")&amp;" - "&amp;TEXT(MOD(Calc!AD54,1),"h:mm AM/PM")&amp;IF(Calc!AD54&gt;1," (+1)",""))))</f>
        <v/>
      </c>
      <c r="G54" s="13" t="str">
        <f aca="false">IF(Calc!$B54=0,"",IF(Calc!J$3=0,"Closed",IF(Calc!J54=0,"Off",TEXT(MOD(Calc!X54,1),"h:mm AM/PM")&amp;IF(Calc!X54&gt;=1," (+1)","")&amp;" - "&amp;TEXT(MOD(Calc!AE54,1),"h:mm AM/PM")&amp;IF(Calc!AE54&gt;1," (+1)",""))))</f>
        <v/>
      </c>
      <c r="H54" s="13" t="str">
        <f aca="false">IF(Calc!$B54=0,"",IF(Calc!K$3=0,"Closed",IF(Calc!K54=0,"Off",TEXT(MOD(Calc!Y54,1),"h:mm AM/PM")&amp;IF(Calc!Y54&gt;=1," (+1)","")&amp;" - "&amp;TEXT(MOD(Calc!AF54,1),"h:mm AM/PM")&amp;IF(Calc!AF54&gt;1," (+1)",""))))</f>
        <v/>
      </c>
      <c r="I54" s="13" t="str">
        <f aca="false">IF(Calc!$B54=0,"",IF(Calc!L$3=0,"Closed",IF(Calc!L54=0,"Off",TEXT(MOD(Calc!Z54,1),"h:mm AM/PM")&amp;IF(Calc!Z54&gt;=1," (+1)","")&amp;" - "&amp;TEXT(MOD(Calc!AG54,1),"h:mm AM/PM")&amp;IF(Calc!AG54&gt;1," (+1)",""))))</f>
        <v/>
      </c>
      <c r="J54" s="12" t="str">
        <f aca="false">IF(Calc!B54=0,"",(SUM(Calc!AA54:AG54)-SUM(Calc!T54:Z54))*24)</f>
        <v/>
      </c>
      <c r="K54" s="6" t="str">
        <f aca="false">IF(Calc!B54=0,"",SUM(Calc!F54:L54))</f>
        <v/>
      </c>
      <c r="L54" s="6" t="str">
        <f aca="false">IF(Calc!B54=0,"",IF(Inputs!$B$6=0,"None",CHOOSE(Calc!D54+1,"Mon","Tue","Wed","Thu","Fri","Sat","Sun")&amp;" to "&amp;CHOOSE(MOD(Calc!D54+Inputs!$B$6-1,7)+1,"Mon","Tue","Wed","Thu","Fri","Sat","Sun")))</f>
        <v/>
      </c>
    </row>
    <row r="55" customFormat="false" ht="15" hidden="false" customHeight="false" outlineLevel="0" collapsed="false">
      <c r="A55" s="6" t="str">
        <f aca="false">IF(Calc!B55=1,50,"")</f>
        <v/>
      </c>
      <c r="B55" s="6" t="str">
        <f aca="false">IF(Calc!B55=0,"",IF(Inputs!B72&lt;&gt;"",Inputs!B72,"Agent "&amp;50))</f>
        <v/>
      </c>
      <c r="C55" s="13" t="str">
        <f aca="false">IF(Calc!$B55=0,"",IF(Calc!F$3=0,"Closed",IF(Calc!F55=0,"Off",TEXT(MOD(Calc!T55,1),"h:mm AM/PM")&amp;IF(Calc!T55&gt;=1," (+1)","")&amp;" - "&amp;TEXT(MOD(Calc!AA55,1),"h:mm AM/PM")&amp;IF(Calc!AA55&gt;1," (+1)",""))))</f>
        <v/>
      </c>
      <c r="D55" s="13" t="str">
        <f aca="false">IF(Calc!$B55=0,"",IF(Calc!G$3=0,"Closed",IF(Calc!G55=0,"Off",TEXT(MOD(Calc!U55,1),"h:mm AM/PM")&amp;IF(Calc!U55&gt;=1," (+1)","")&amp;" - "&amp;TEXT(MOD(Calc!AB55,1),"h:mm AM/PM")&amp;IF(Calc!AB55&gt;1," (+1)",""))))</f>
        <v/>
      </c>
      <c r="E55" s="13" t="str">
        <f aca="false">IF(Calc!$B55=0,"",IF(Calc!H$3=0,"Closed",IF(Calc!H55=0,"Off",TEXT(MOD(Calc!V55,1),"h:mm AM/PM")&amp;IF(Calc!V55&gt;=1," (+1)","")&amp;" - "&amp;TEXT(MOD(Calc!AC55,1),"h:mm AM/PM")&amp;IF(Calc!AC55&gt;1," (+1)",""))))</f>
        <v/>
      </c>
      <c r="F55" s="13" t="str">
        <f aca="false">IF(Calc!$B55=0,"",IF(Calc!I$3=0,"Closed",IF(Calc!I55=0,"Off",TEXT(MOD(Calc!W55,1),"h:mm AM/PM")&amp;IF(Calc!W55&gt;=1," (+1)","")&amp;" - "&amp;TEXT(MOD(Calc!AD55,1),"h:mm AM/PM")&amp;IF(Calc!AD55&gt;1," (+1)",""))))</f>
        <v/>
      </c>
      <c r="G55" s="13" t="str">
        <f aca="false">IF(Calc!$B55=0,"",IF(Calc!J$3=0,"Closed",IF(Calc!J55=0,"Off",TEXT(MOD(Calc!X55,1),"h:mm AM/PM")&amp;IF(Calc!X55&gt;=1," (+1)","")&amp;" - "&amp;TEXT(MOD(Calc!AE55,1),"h:mm AM/PM")&amp;IF(Calc!AE55&gt;1," (+1)",""))))</f>
        <v/>
      </c>
      <c r="H55" s="13" t="str">
        <f aca="false">IF(Calc!$B55=0,"",IF(Calc!K$3=0,"Closed",IF(Calc!K55=0,"Off",TEXT(MOD(Calc!Y55,1),"h:mm AM/PM")&amp;IF(Calc!Y55&gt;=1," (+1)","")&amp;" - "&amp;TEXT(MOD(Calc!AF55,1),"h:mm AM/PM")&amp;IF(Calc!AF55&gt;1," (+1)",""))))</f>
        <v/>
      </c>
      <c r="I55" s="13" t="str">
        <f aca="false">IF(Calc!$B55=0,"",IF(Calc!L$3=0,"Closed",IF(Calc!L55=0,"Off",TEXT(MOD(Calc!Z55,1),"h:mm AM/PM")&amp;IF(Calc!Z55&gt;=1," (+1)","")&amp;" - "&amp;TEXT(MOD(Calc!AG55,1),"h:mm AM/PM")&amp;IF(Calc!AG55&gt;1," (+1)",""))))</f>
        <v/>
      </c>
      <c r="J55" s="12" t="str">
        <f aca="false">IF(Calc!B55=0,"",(SUM(Calc!AA55:AG55)-SUM(Calc!T55:Z55))*24)</f>
        <v/>
      </c>
      <c r="K55" s="6" t="str">
        <f aca="false">IF(Calc!B55=0,"",SUM(Calc!F55:L55))</f>
        <v/>
      </c>
      <c r="L55" s="6" t="str">
        <f aca="false">IF(Calc!B55=0,"",IF(Inputs!$B$6=0,"None",CHOOSE(Calc!D55+1,"Mon","Tue","Wed","Thu","Fri","Sat","Sun")&amp;" to "&amp;CHOOSE(MOD(Calc!D55+Inputs!$B$6-1,7)+1,"Mon","Tue","Wed","Thu","Fri","Sat","Sun")))</f>
        <v/>
      </c>
    </row>
    <row r="56" customFormat="false" ht="15" hidden="false" customHeight="false" outlineLevel="0" collapsed="false">
      <c r="A56" s="6" t="str">
        <f aca="false">IF(Calc!B56=1,51,"")</f>
        <v/>
      </c>
      <c r="B56" s="6" t="str">
        <f aca="false">IF(Calc!B56=0,"",IF(Inputs!B73&lt;&gt;"",Inputs!B73,"Agent "&amp;51))</f>
        <v/>
      </c>
      <c r="C56" s="13" t="str">
        <f aca="false">IF(Calc!$B56=0,"",IF(Calc!F$3=0,"Closed",IF(Calc!F56=0,"Off",TEXT(MOD(Calc!T56,1),"h:mm AM/PM")&amp;IF(Calc!T56&gt;=1," (+1)","")&amp;" - "&amp;TEXT(MOD(Calc!AA56,1),"h:mm AM/PM")&amp;IF(Calc!AA56&gt;1," (+1)",""))))</f>
        <v/>
      </c>
      <c r="D56" s="13" t="str">
        <f aca="false">IF(Calc!$B56=0,"",IF(Calc!G$3=0,"Closed",IF(Calc!G56=0,"Off",TEXT(MOD(Calc!U56,1),"h:mm AM/PM")&amp;IF(Calc!U56&gt;=1," (+1)","")&amp;" - "&amp;TEXT(MOD(Calc!AB56,1),"h:mm AM/PM")&amp;IF(Calc!AB56&gt;1," (+1)",""))))</f>
        <v/>
      </c>
      <c r="E56" s="13" t="str">
        <f aca="false">IF(Calc!$B56=0,"",IF(Calc!H$3=0,"Closed",IF(Calc!H56=0,"Off",TEXT(MOD(Calc!V56,1),"h:mm AM/PM")&amp;IF(Calc!V56&gt;=1," (+1)","")&amp;" - "&amp;TEXT(MOD(Calc!AC56,1),"h:mm AM/PM")&amp;IF(Calc!AC56&gt;1," (+1)",""))))</f>
        <v/>
      </c>
      <c r="F56" s="13" t="str">
        <f aca="false">IF(Calc!$B56=0,"",IF(Calc!I$3=0,"Closed",IF(Calc!I56=0,"Off",TEXT(MOD(Calc!W56,1),"h:mm AM/PM")&amp;IF(Calc!W56&gt;=1," (+1)","")&amp;" - "&amp;TEXT(MOD(Calc!AD56,1),"h:mm AM/PM")&amp;IF(Calc!AD56&gt;1," (+1)",""))))</f>
        <v/>
      </c>
      <c r="G56" s="13" t="str">
        <f aca="false">IF(Calc!$B56=0,"",IF(Calc!J$3=0,"Closed",IF(Calc!J56=0,"Off",TEXT(MOD(Calc!X56,1),"h:mm AM/PM")&amp;IF(Calc!X56&gt;=1," (+1)","")&amp;" - "&amp;TEXT(MOD(Calc!AE56,1),"h:mm AM/PM")&amp;IF(Calc!AE56&gt;1," (+1)",""))))</f>
        <v/>
      </c>
      <c r="H56" s="13" t="str">
        <f aca="false">IF(Calc!$B56=0,"",IF(Calc!K$3=0,"Closed",IF(Calc!K56=0,"Off",TEXT(MOD(Calc!Y56,1),"h:mm AM/PM")&amp;IF(Calc!Y56&gt;=1," (+1)","")&amp;" - "&amp;TEXT(MOD(Calc!AF56,1),"h:mm AM/PM")&amp;IF(Calc!AF56&gt;1," (+1)",""))))</f>
        <v/>
      </c>
      <c r="I56" s="13" t="str">
        <f aca="false">IF(Calc!$B56=0,"",IF(Calc!L$3=0,"Closed",IF(Calc!L56=0,"Off",TEXT(MOD(Calc!Z56,1),"h:mm AM/PM")&amp;IF(Calc!Z56&gt;=1," (+1)","")&amp;" - "&amp;TEXT(MOD(Calc!AG56,1),"h:mm AM/PM")&amp;IF(Calc!AG56&gt;1," (+1)",""))))</f>
        <v/>
      </c>
      <c r="J56" s="12" t="str">
        <f aca="false">IF(Calc!B56=0,"",(SUM(Calc!AA56:AG56)-SUM(Calc!T56:Z56))*24)</f>
        <v/>
      </c>
      <c r="K56" s="6" t="str">
        <f aca="false">IF(Calc!B56=0,"",SUM(Calc!F56:L56))</f>
        <v/>
      </c>
      <c r="L56" s="6" t="str">
        <f aca="false">IF(Calc!B56=0,"",IF(Inputs!$B$6=0,"None",CHOOSE(Calc!D56+1,"Mon","Tue","Wed","Thu","Fri","Sat","Sun")&amp;" to "&amp;CHOOSE(MOD(Calc!D56+Inputs!$B$6-1,7)+1,"Mon","Tue","Wed","Thu","Fri","Sat","Sun")))</f>
        <v/>
      </c>
    </row>
    <row r="57" customFormat="false" ht="15" hidden="false" customHeight="false" outlineLevel="0" collapsed="false">
      <c r="A57" s="6" t="str">
        <f aca="false">IF(Calc!B57=1,52,"")</f>
        <v/>
      </c>
      <c r="B57" s="6" t="str">
        <f aca="false">IF(Calc!B57=0,"",IF(Inputs!B74&lt;&gt;"",Inputs!B74,"Agent "&amp;52))</f>
        <v/>
      </c>
      <c r="C57" s="13" t="str">
        <f aca="false">IF(Calc!$B57=0,"",IF(Calc!F$3=0,"Closed",IF(Calc!F57=0,"Off",TEXT(MOD(Calc!T57,1),"h:mm AM/PM")&amp;IF(Calc!T57&gt;=1," (+1)","")&amp;" - "&amp;TEXT(MOD(Calc!AA57,1),"h:mm AM/PM")&amp;IF(Calc!AA57&gt;1," (+1)",""))))</f>
        <v/>
      </c>
      <c r="D57" s="13" t="str">
        <f aca="false">IF(Calc!$B57=0,"",IF(Calc!G$3=0,"Closed",IF(Calc!G57=0,"Off",TEXT(MOD(Calc!U57,1),"h:mm AM/PM")&amp;IF(Calc!U57&gt;=1," (+1)","")&amp;" - "&amp;TEXT(MOD(Calc!AB57,1),"h:mm AM/PM")&amp;IF(Calc!AB57&gt;1," (+1)",""))))</f>
        <v/>
      </c>
      <c r="E57" s="13" t="str">
        <f aca="false">IF(Calc!$B57=0,"",IF(Calc!H$3=0,"Closed",IF(Calc!H57=0,"Off",TEXT(MOD(Calc!V57,1),"h:mm AM/PM")&amp;IF(Calc!V57&gt;=1," (+1)","")&amp;" - "&amp;TEXT(MOD(Calc!AC57,1),"h:mm AM/PM")&amp;IF(Calc!AC57&gt;1," (+1)",""))))</f>
        <v/>
      </c>
      <c r="F57" s="13" t="str">
        <f aca="false">IF(Calc!$B57=0,"",IF(Calc!I$3=0,"Closed",IF(Calc!I57=0,"Off",TEXT(MOD(Calc!W57,1),"h:mm AM/PM")&amp;IF(Calc!W57&gt;=1," (+1)","")&amp;" - "&amp;TEXT(MOD(Calc!AD57,1),"h:mm AM/PM")&amp;IF(Calc!AD57&gt;1," (+1)",""))))</f>
        <v/>
      </c>
      <c r="G57" s="13" t="str">
        <f aca="false">IF(Calc!$B57=0,"",IF(Calc!J$3=0,"Closed",IF(Calc!J57=0,"Off",TEXT(MOD(Calc!X57,1),"h:mm AM/PM")&amp;IF(Calc!X57&gt;=1," (+1)","")&amp;" - "&amp;TEXT(MOD(Calc!AE57,1),"h:mm AM/PM")&amp;IF(Calc!AE57&gt;1," (+1)",""))))</f>
        <v/>
      </c>
      <c r="H57" s="13" t="str">
        <f aca="false">IF(Calc!$B57=0,"",IF(Calc!K$3=0,"Closed",IF(Calc!K57=0,"Off",TEXT(MOD(Calc!Y57,1),"h:mm AM/PM")&amp;IF(Calc!Y57&gt;=1," (+1)","")&amp;" - "&amp;TEXT(MOD(Calc!AF57,1),"h:mm AM/PM")&amp;IF(Calc!AF57&gt;1," (+1)",""))))</f>
        <v/>
      </c>
      <c r="I57" s="13" t="str">
        <f aca="false">IF(Calc!$B57=0,"",IF(Calc!L$3=0,"Closed",IF(Calc!L57=0,"Off",TEXT(MOD(Calc!Z57,1),"h:mm AM/PM")&amp;IF(Calc!Z57&gt;=1," (+1)","")&amp;" - "&amp;TEXT(MOD(Calc!AG57,1),"h:mm AM/PM")&amp;IF(Calc!AG57&gt;1," (+1)",""))))</f>
        <v/>
      </c>
      <c r="J57" s="12" t="str">
        <f aca="false">IF(Calc!B57=0,"",(SUM(Calc!AA57:AG57)-SUM(Calc!T57:Z57))*24)</f>
        <v/>
      </c>
      <c r="K57" s="6" t="str">
        <f aca="false">IF(Calc!B57=0,"",SUM(Calc!F57:L57))</f>
        <v/>
      </c>
      <c r="L57" s="6" t="str">
        <f aca="false">IF(Calc!B57=0,"",IF(Inputs!$B$6=0,"None",CHOOSE(Calc!D57+1,"Mon","Tue","Wed","Thu","Fri","Sat","Sun")&amp;" to "&amp;CHOOSE(MOD(Calc!D57+Inputs!$B$6-1,7)+1,"Mon","Tue","Wed","Thu","Fri","Sat","Sun")))</f>
        <v/>
      </c>
    </row>
    <row r="58" customFormat="false" ht="15" hidden="false" customHeight="false" outlineLevel="0" collapsed="false">
      <c r="A58" s="6" t="str">
        <f aca="false">IF(Calc!B58=1,53,"")</f>
        <v/>
      </c>
      <c r="B58" s="6" t="str">
        <f aca="false">IF(Calc!B58=0,"",IF(Inputs!B75&lt;&gt;"",Inputs!B75,"Agent "&amp;53))</f>
        <v/>
      </c>
      <c r="C58" s="13" t="str">
        <f aca="false">IF(Calc!$B58=0,"",IF(Calc!F$3=0,"Closed",IF(Calc!F58=0,"Off",TEXT(MOD(Calc!T58,1),"h:mm AM/PM")&amp;IF(Calc!T58&gt;=1," (+1)","")&amp;" - "&amp;TEXT(MOD(Calc!AA58,1),"h:mm AM/PM")&amp;IF(Calc!AA58&gt;1," (+1)",""))))</f>
        <v/>
      </c>
      <c r="D58" s="13" t="str">
        <f aca="false">IF(Calc!$B58=0,"",IF(Calc!G$3=0,"Closed",IF(Calc!G58=0,"Off",TEXT(MOD(Calc!U58,1),"h:mm AM/PM")&amp;IF(Calc!U58&gt;=1," (+1)","")&amp;" - "&amp;TEXT(MOD(Calc!AB58,1),"h:mm AM/PM")&amp;IF(Calc!AB58&gt;1," (+1)",""))))</f>
        <v/>
      </c>
      <c r="E58" s="13" t="str">
        <f aca="false">IF(Calc!$B58=0,"",IF(Calc!H$3=0,"Closed",IF(Calc!H58=0,"Off",TEXT(MOD(Calc!V58,1),"h:mm AM/PM")&amp;IF(Calc!V58&gt;=1," (+1)","")&amp;" - "&amp;TEXT(MOD(Calc!AC58,1),"h:mm AM/PM")&amp;IF(Calc!AC58&gt;1," (+1)",""))))</f>
        <v/>
      </c>
      <c r="F58" s="13" t="str">
        <f aca="false">IF(Calc!$B58=0,"",IF(Calc!I$3=0,"Closed",IF(Calc!I58=0,"Off",TEXT(MOD(Calc!W58,1),"h:mm AM/PM")&amp;IF(Calc!W58&gt;=1," (+1)","")&amp;" - "&amp;TEXT(MOD(Calc!AD58,1),"h:mm AM/PM")&amp;IF(Calc!AD58&gt;1," (+1)",""))))</f>
        <v/>
      </c>
      <c r="G58" s="13" t="str">
        <f aca="false">IF(Calc!$B58=0,"",IF(Calc!J$3=0,"Closed",IF(Calc!J58=0,"Off",TEXT(MOD(Calc!X58,1),"h:mm AM/PM")&amp;IF(Calc!X58&gt;=1," (+1)","")&amp;" - "&amp;TEXT(MOD(Calc!AE58,1),"h:mm AM/PM")&amp;IF(Calc!AE58&gt;1," (+1)",""))))</f>
        <v/>
      </c>
      <c r="H58" s="13" t="str">
        <f aca="false">IF(Calc!$B58=0,"",IF(Calc!K$3=0,"Closed",IF(Calc!K58=0,"Off",TEXT(MOD(Calc!Y58,1),"h:mm AM/PM")&amp;IF(Calc!Y58&gt;=1," (+1)","")&amp;" - "&amp;TEXT(MOD(Calc!AF58,1),"h:mm AM/PM")&amp;IF(Calc!AF58&gt;1," (+1)",""))))</f>
        <v/>
      </c>
      <c r="I58" s="13" t="str">
        <f aca="false">IF(Calc!$B58=0,"",IF(Calc!L$3=0,"Closed",IF(Calc!L58=0,"Off",TEXT(MOD(Calc!Z58,1),"h:mm AM/PM")&amp;IF(Calc!Z58&gt;=1," (+1)","")&amp;" - "&amp;TEXT(MOD(Calc!AG58,1),"h:mm AM/PM")&amp;IF(Calc!AG58&gt;1," (+1)",""))))</f>
        <v/>
      </c>
      <c r="J58" s="12" t="str">
        <f aca="false">IF(Calc!B58=0,"",(SUM(Calc!AA58:AG58)-SUM(Calc!T58:Z58))*24)</f>
        <v/>
      </c>
      <c r="K58" s="6" t="str">
        <f aca="false">IF(Calc!B58=0,"",SUM(Calc!F58:L58))</f>
        <v/>
      </c>
      <c r="L58" s="6" t="str">
        <f aca="false">IF(Calc!B58=0,"",IF(Inputs!$B$6=0,"None",CHOOSE(Calc!D58+1,"Mon","Tue","Wed","Thu","Fri","Sat","Sun")&amp;" to "&amp;CHOOSE(MOD(Calc!D58+Inputs!$B$6-1,7)+1,"Mon","Tue","Wed","Thu","Fri","Sat","Sun")))</f>
        <v/>
      </c>
    </row>
    <row r="59" customFormat="false" ht="15" hidden="false" customHeight="false" outlineLevel="0" collapsed="false">
      <c r="A59" s="6" t="str">
        <f aca="false">IF(Calc!B59=1,54,"")</f>
        <v/>
      </c>
      <c r="B59" s="6" t="str">
        <f aca="false">IF(Calc!B59=0,"",IF(Inputs!B76&lt;&gt;"",Inputs!B76,"Agent "&amp;54))</f>
        <v/>
      </c>
      <c r="C59" s="13" t="str">
        <f aca="false">IF(Calc!$B59=0,"",IF(Calc!F$3=0,"Closed",IF(Calc!F59=0,"Off",TEXT(MOD(Calc!T59,1),"h:mm AM/PM")&amp;IF(Calc!T59&gt;=1," (+1)","")&amp;" - "&amp;TEXT(MOD(Calc!AA59,1),"h:mm AM/PM")&amp;IF(Calc!AA59&gt;1," (+1)",""))))</f>
        <v/>
      </c>
      <c r="D59" s="13" t="str">
        <f aca="false">IF(Calc!$B59=0,"",IF(Calc!G$3=0,"Closed",IF(Calc!G59=0,"Off",TEXT(MOD(Calc!U59,1),"h:mm AM/PM")&amp;IF(Calc!U59&gt;=1," (+1)","")&amp;" - "&amp;TEXT(MOD(Calc!AB59,1),"h:mm AM/PM")&amp;IF(Calc!AB59&gt;1," (+1)",""))))</f>
        <v/>
      </c>
      <c r="E59" s="13" t="str">
        <f aca="false">IF(Calc!$B59=0,"",IF(Calc!H$3=0,"Closed",IF(Calc!H59=0,"Off",TEXT(MOD(Calc!V59,1),"h:mm AM/PM")&amp;IF(Calc!V59&gt;=1," (+1)","")&amp;" - "&amp;TEXT(MOD(Calc!AC59,1),"h:mm AM/PM")&amp;IF(Calc!AC59&gt;1," (+1)",""))))</f>
        <v/>
      </c>
      <c r="F59" s="13" t="str">
        <f aca="false">IF(Calc!$B59=0,"",IF(Calc!I$3=0,"Closed",IF(Calc!I59=0,"Off",TEXT(MOD(Calc!W59,1),"h:mm AM/PM")&amp;IF(Calc!W59&gt;=1," (+1)","")&amp;" - "&amp;TEXT(MOD(Calc!AD59,1),"h:mm AM/PM")&amp;IF(Calc!AD59&gt;1," (+1)",""))))</f>
        <v/>
      </c>
      <c r="G59" s="13" t="str">
        <f aca="false">IF(Calc!$B59=0,"",IF(Calc!J$3=0,"Closed",IF(Calc!J59=0,"Off",TEXT(MOD(Calc!X59,1),"h:mm AM/PM")&amp;IF(Calc!X59&gt;=1," (+1)","")&amp;" - "&amp;TEXT(MOD(Calc!AE59,1),"h:mm AM/PM")&amp;IF(Calc!AE59&gt;1," (+1)",""))))</f>
        <v/>
      </c>
      <c r="H59" s="13" t="str">
        <f aca="false">IF(Calc!$B59=0,"",IF(Calc!K$3=0,"Closed",IF(Calc!K59=0,"Off",TEXT(MOD(Calc!Y59,1),"h:mm AM/PM")&amp;IF(Calc!Y59&gt;=1," (+1)","")&amp;" - "&amp;TEXT(MOD(Calc!AF59,1),"h:mm AM/PM")&amp;IF(Calc!AF59&gt;1," (+1)",""))))</f>
        <v/>
      </c>
      <c r="I59" s="13" t="str">
        <f aca="false">IF(Calc!$B59=0,"",IF(Calc!L$3=0,"Closed",IF(Calc!L59=0,"Off",TEXT(MOD(Calc!Z59,1),"h:mm AM/PM")&amp;IF(Calc!Z59&gt;=1," (+1)","")&amp;" - "&amp;TEXT(MOD(Calc!AG59,1),"h:mm AM/PM")&amp;IF(Calc!AG59&gt;1," (+1)",""))))</f>
        <v/>
      </c>
      <c r="J59" s="12" t="str">
        <f aca="false">IF(Calc!B59=0,"",(SUM(Calc!AA59:AG59)-SUM(Calc!T59:Z59))*24)</f>
        <v/>
      </c>
      <c r="K59" s="6" t="str">
        <f aca="false">IF(Calc!B59=0,"",SUM(Calc!F59:L59))</f>
        <v/>
      </c>
      <c r="L59" s="6" t="str">
        <f aca="false">IF(Calc!B59=0,"",IF(Inputs!$B$6=0,"None",CHOOSE(Calc!D59+1,"Mon","Tue","Wed","Thu","Fri","Sat","Sun")&amp;" to "&amp;CHOOSE(MOD(Calc!D59+Inputs!$B$6-1,7)+1,"Mon","Tue","Wed","Thu","Fri","Sat","Sun")))</f>
        <v/>
      </c>
    </row>
    <row r="60" customFormat="false" ht="15" hidden="false" customHeight="false" outlineLevel="0" collapsed="false">
      <c r="A60" s="6" t="str">
        <f aca="false">IF(Calc!B60=1,55,"")</f>
        <v/>
      </c>
      <c r="B60" s="6" t="str">
        <f aca="false">IF(Calc!B60=0,"",IF(Inputs!B77&lt;&gt;"",Inputs!B77,"Agent "&amp;55))</f>
        <v/>
      </c>
      <c r="C60" s="13" t="str">
        <f aca="false">IF(Calc!$B60=0,"",IF(Calc!F$3=0,"Closed",IF(Calc!F60=0,"Off",TEXT(MOD(Calc!T60,1),"h:mm AM/PM")&amp;IF(Calc!T60&gt;=1," (+1)","")&amp;" - "&amp;TEXT(MOD(Calc!AA60,1),"h:mm AM/PM")&amp;IF(Calc!AA60&gt;1," (+1)",""))))</f>
        <v/>
      </c>
      <c r="D60" s="13" t="str">
        <f aca="false">IF(Calc!$B60=0,"",IF(Calc!G$3=0,"Closed",IF(Calc!G60=0,"Off",TEXT(MOD(Calc!U60,1),"h:mm AM/PM")&amp;IF(Calc!U60&gt;=1," (+1)","")&amp;" - "&amp;TEXT(MOD(Calc!AB60,1),"h:mm AM/PM")&amp;IF(Calc!AB60&gt;1," (+1)",""))))</f>
        <v/>
      </c>
      <c r="E60" s="13" t="str">
        <f aca="false">IF(Calc!$B60=0,"",IF(Calc!H$3=0,"Closed",IF(Calc!H60=0,"Off",TEXT(MOD(Calc!V60,1),"h:mm AM/PM")&amp;IF(Calc!V60&gt;=1," (+1)","")&amp;" - "&amp;TEXT(MOD(Calc!AC60,1),"h:mm AM/PM")&amp;IF(Calc!AC60&gt;1," (+1)",""))))</f>
        <v/>
      </c>
      <c r="F60" s="13" t="str">
        <f aca="false">IF(Calc!$B60=0,"",IF(Calc!I$3=0,"Closed",IF(Calc!I60=0,"Off",TEXT(MOD(Calc!W60,1),"h:mm AM/PM")&amp;IF(Calc!W60&gt;=1," (+1)","")&amp;" - "&amp;TEXT(MOD(Calc!AD60,1),"h:mm AM/PM")&amp;IF(Calc!AD60&gt;1," (+1)",""))))</f>
        <v/>
      </c>
      <c r="G60" s="13" t="str">
        <f aca="false">IF(Calc!$B60=0,"",IF(Calc!J$3=0,"Closed",IF(Calc!J60=0,"Off",TEXT(MOD(Calc!X60,1),"h:mm AM/PM")&amp;IF(Calc!X60&gt;=1," (+1)","")&amp;" - "&amp;TEXT(MOD(Calc!AE60,1),"h:mm AM/PM")&amp;IF(Calc!AE60&gt;1," (+1)",""))))</f>
        <v/>
      </c>
      <c r="H60" s="13" t="str">
        <f aca="false">IF(Calc!$B60=0,"",IF(Calc!K$3=0,"Closed",IF(Calc!K60=0,"Off",TEXT(MOD(Calc!Y60,1),"h:mm AM/PM")&amp;IF(Calc!Y60&gt;=1," (+1)","")&amp;" - "&amp;TEXT(MOD(Calc!AF60,1),"h:mm AM/PM")&amp;IF(Calc!AF60&gt;1," (+1)",""))))</f>
        <v/>
      </c>
      <c r="I60" s="13" t="str">
        <f aca="false">IF(Calc!$B60=0,"",IF(Calc!L$3=0,"Closed",IF(Calc!L60=0,"Off",TEXT(MOD(Calc!Z60,1),"h:mm AM/PM")&amp;IF(Calc!Z60&gt;=1," (+1)","")&amp;" - "&amp;TEXT(MOD(Calc!AG60,1),"h:mm AM/PM")&amp;IF(Calc!AG60&gt;1," (+1)",""))))</f>
        <v/>
      </c>
      <c r="J60" s="12" t="str">
        <f aca="false">IF(Calc!B60=0,"",(SUM(Calc!AA60:AG60)-SUM(Calc!T60:Z60))*24)</f>
        <v/>
      </c>
      <c r="K60" s="6" t="str">
        <f aca="false">IF(Calc!B60=0,"",SUM(Calc!F60:L60))</f>
        <v/>
      </c>
      <c r="L60" s="6" t="str">
        <f aca="false">IF(Calc!B60=0,"",IF(Inputs!$B$6=0,"None",CHOOSE(Calc!D60+1,"Mon","Tue","Wed","Thu","Fri","Sat","Sun")&amp;" to "&amp;CHOOSE(MOD(Calc!D60+Inputs!$B$6-1,7)+1,"Mon","Tue","Wed","Thu","Fri","Sat","Sun")))</f>
        <v/>
      </c>
    </row>
    <row r="61" customFormat="false" ht="15" hidden="false" customHeight="false" outlineLevel="0" collapsed="false">
      <c r="A61" s="6" t="str">
        <f aca="false">IF(Calc!B61=1,56,"")</f>
        <v/>
      </c>
      <c r="B61" s="6" t="str">
        <f aca="false">IF(Calc!B61=0,"",IF(Inputs!B78&lt;&gt;"",Inputs!B78,"Agent "&amp;56))</f>
        <v/>
      </c>
      <c r="C61" s="13" t="str">
        <f aca="false">IF(Calc!$B61=0,"",IF(Calc!F$3=0,"Closed",IF(Calc!F61=0,"Off",TEXT(MOD(Calc!T61,1),"h:mm AM/PM")&amp;IF(Calc!T61&gt;=1," (+1)","")&amp;" - "&amp;TEXT(MOD(Calc!AA61,1),"h:mm AM/PM")&amp;IF(Calc!AA61&gt;1," (+1)",""))))</f>
        <v/>
      </c>
      <c r="D61" s="13" t="str">
        <f aca="false">IF(Calc!$B61=0,"",IF(Calc!G$3=0,"Closed",IF(Calc!G61=0,"Off",TEXT(MOD(Calc!U61,1),"h:mm AM/PM")&amp;IF(Calc!U61&gt;=1," (+1)","")&amp;" - "&amp;TEXT(MOD(Calc!AB61,1),"h:mm AM/PM")&amp;IF(Calc!AB61&gt;1," (+1)",""))))</f>
        <v/>
      </c>
      <c r="E61" s="13" t="str">
        <f aca="false">IF(Calc!$B61=0,"",IF(Calc!H$3=0,"Closed",IF(Calc!H61=0,"Off",TEXT(MOD(Calc!V61,1),"h:mm AM/PM")&amp;IF(Calc!V61&gt;=1," (+1)","")&amp;" - "&amp;TEXT(MOD(Calc!AC61,1),"h:mm AM/PM")&amp;IF(Calc!AC61&gt;1," (+1)",""))))</f>
        <v/>
      </c>
      <c r="F61" s="13" t="str">
        <f aca="false">IF(Calc!$B61=0,"",IF(Calc!I$3=0,"Closed",IF(Calc!I61=0,"Off",TEXT(MOD(Calc!W61,1),"h:mm AM/PM")&amp;IF(Calc!W61&gt;=1," (+1)","")&amp;" - "&amp;TEXT(MOD(Calc!AD61,1),"h:mm AM/PM")&amp;IF(Calc!AD61&gt;1," (+1)",""))))</f>
        <v/>
      </c>
      <c r="G61" s="13" t="str">
        <f aca="false">IF(Calc!$B61=0,"",IF(Calc!J$3=0,"Closed",IF(Calc!J61=0,"Off",TEXT(MOD(Calc!X61,1),"h:mm AM/PM")&amp;IF(Calc!X61&gt;=1," (+1)","")&amp;" - "&amp;TEXT(MOD(Calc!AE61,1),"h:mm AM/PM")&amp;IF(Calc!AE61&gt;1," (+1)",""))))</f>
        <v/>
      </c>
      <c r="H61" s="13" t="str">
        <f aca="false">IF(Calc!$B61=0,"",IF(Calc!K$3=0,"Closed",IF(Calc!K61=0,"Off",TEXT(MOD(Calc!Y61,1),"h:mm AM/PM")&amp;IF(Calc!Y61&gt;=1," (+1)","")&amp;" - "&amp;TEXT(MOD(Calc!AF61,1),"h:mm AM/PM")&amp;IF(Calc!AF61&gt;1," (+1)",""))))</f>
        <v/>
      </c>
      <c r="I61" s="13" t="str">
        <f aca="false">IF(Calc!$B61=0,"",IF(Calc!L$3=0,"Closed",IF(Calc!L61=0,"Off",TEXT(MOD(Calc!Z61,1),"h:mm AM/PM")&amp;IF(Calc!Z61&gt;=1," (+1)","")&amp;" - "&amp;TEXT(MOD(Calc!AG61,1),"h:mm AM/PM")&amp;IF(Calc!AG61&gt;1," (+1)",""))))</f>
        <v/>
      </c>
      <c r="J61" s="12" t="str">
        <f aca="false">IF(Calc!B61=0,"",(SUM(Calc!AA61:AG61)-SUM(Calc!T61:Z61))*24)</f>
        <v/>
      </c>
      <c r="K61" s="6" t="str">
        <f aca="false">IF(Calc!B61=0,"",SUM(Calc!F61:L61))</f>
        <v/>
      </c>
      <c r="L61" s="6" t="str">
        <f aca="false">IF(Calc!B61=0,"",IF(Inputs!$B$6=0,"None",CHOOSE(Calc!D61+1,"Mon","Tue","Wed","Thu","Fri","Sat","Sun")&amp;" to "&amp;CHOOSE(MOD(Calc!D61+Inputs!$B$6-1,7)+1,"Mon","Tue","Wed","Thu","Fri","Sat","Sun")))</f>
        <v/>
      </c>
    </row>
    <row r="62" customFormat="false" ht="15" hidden="false" customHeight="false" outlineLevel="0" collapsed="false">
      <c r="A62" s="6" t="str">
        <f aca="false">IF(Calc!B62=1,57,"")</f>
        <v/>
      </c>
      <c r="B62" s="6" t="str">
        <f aca="false">IF(Calc!B62=0,"",IF(Inputs!B79&lt;&gt;"",Inputs!B79,"Agent "&amp;57))</f>
        <v/>
      </c>
      <c r="C62" s="13" t="str">
        <f aca="false">IF(Calc!$B62=0,"",IF(Calc!F$3=0,"Closed",IF(Calc!F62=0,"Off",TEXT(MOD(Calc!T62,1),"h:mm AM/PM")&amp;IF(Calc!T62&gt;=1," (+1)","")&amp;" - "&amp;TEXT(MOD(Calc!AA62,1),"h:mm AM/PM")&amp;IF(Calc!AA62&gt;1," (+1)",""))))</f>
        <v/>
      </c>
      <c r="D62" s="13" t="str">
        <f aca="false">IF(Calc!$B62=0,"",IF(Calc!G$3=0,"Closed",IF(Calc!G62=0,"Off",TEXT(MOD(Calc!U62,1),"h:mm AM/PM")&amp;IF(Calc!U62&gt;=1," (+1)","")&amp;" - "&amp;TEXT(MOD(Calc!AB62,1),"h:mm AM/PM")&amp;IF(Calc!AB62&gt;1," (+1)",""))))</f>
        <v/>
      </c>
      <c r="E62" s="13" t="str">
        <f aca="false">IF(Calc!$B62=0,"",IF(Calc!H$3=0,"Closed",IF(Calc!H62=0,"Off",TEXT(MOD(Calc!V62,1),"h:mm AM/PM")&amp;IF(Calc!V62&gt;=1," (+1)","")&amp;" - "&amp;TEXT(MOD(Calc!AC62,1),"h:mm AM/PM")&amp;IF(Calc!AC62&gt;1," (+1)",""))))</f>
        <v/>
      </c>
      <c r="F62" s="13" t="str">
        <f aca="false">IF(Calc!$B62=0,"",IF(Calc!I$3=0,"Closed",IF(Calc!I62=0,"Off",TEXT(MOD(Calc!W62,1),"h:mm AM/PM")&amp;IF(Calc!W62&gt;=1," (+1)","")&amp;" - "&amp;TEXT(MOD(Calc!AD62,1),"h:mm AM/PM")&amp;IF(Calc!AD62&gt;1," (+1)",""))))</f>
        <v/>
      </c>
      <c r="G62" s="13" t="str">
        <f aca="false">IF(Calc!$B62=0,"",IF(Calc!J$3=0,"Closed",IF(Calc!J62=0,"Off",TEXT(MOD(Calc!X62,1),"h:mm AM/PM")&amp;IF(Calc!X62&gt;=1," (+1)","")&amp;" - "&amp;TEXT(MOD(Calc!AE62,1),"h:mm AM/PM")&amp;IF(Calc!AE62&gt;1," (+1)",""))))</f>
        <v/>
      </c>
      <c r="H62" s="13" t="str">
        <f aca="false">IF(Calc!$B62=0,"",IF(Calc!K$3=0,"Closed",IF(Calc!K62=0,"Off",TEXT(MOD(Calc!Y62,1),"h:mm AM/PM")&amp;IF(Calc!Y62&gt;=1," (+1)","")&amp;" - "&amp;TEXT(MOD(Calc!AF62,1),"h:mm AM/PM")&amp;IF(Calc!AF62&gt;1," (+1)",""))))</f>
        <v/>
      </c>
      <c r="I62" s="13" t="str">
        <f aca="false">IF(Calc!$B62=0,"",IF(Calc!L$3=0,"Closed",IF(Calc!L62=0,"Off",TEXT(MOD(Calc!Z62,1),"h:mm AM/PM")&amp;IF(Calc!Z62&gt;=1," (+1)","")&amp;" - "&amp;TEXT(MOD(Calc!AG62,1),"h:mm AM/PM")&amp;IF(Calc!AG62&gt;1," (+1)",""))))</f>
        <v/>
      </c>
      <c r="J62" s="12" t="str">
        <f aca="false">IF(Calc!B62=0,"",(SUM(Calc!AA62:AG62)-SUM(Calc!T62:Z62))*24)</f>
        <v/>
      </c>
      <c r="K62" s="6" t="str">
        <f aca="false">IF(Calc!B62=0,"",SUM(Calc!F62:L62))</f>
        <v/>
      </c>
      <c r="L62" s="6" t="str">
        <f aca="false">IF(Calc!B62=0,"",IF(Inputs!$B$6=0,"None",CHOOSE(Calc!D62+1,"Mon","Tue","Wed","Thu","Fri","Sat","Sun")&amp;" to "&amp;CHOOSE(MOD(Calc!D62+Inputs!$B$6-1,7)+1,"Mon","Tue","Wed","Thu","Fri","Sat","Sun")))</f>
        <v/>
      </c>
    </row>
    <row r="63" customFormat="false" ht="15" hidden="false" customHeight="false" outlineLevel="0" collapsed="false">
      <c r="A63" s="6" t="str">
        <f aca="false">IF(Calc!B63=1,58,"")</f>
        <v/>
      </c>
      <c r="B63" s="6" t="str">
        <f aca="false">IF(Calc!B63=0,"",IF(Inputs!B80&lt;&gt;"",Inputs!B80,"Agent "&amp;58))</f>
        <v/>
      </c>
      <c r="C63" s="13" t="str">
        <f aca="false">IF(Calc!$B63=0,"",IF(Calc!F$3=0,"Closed",IF(Calc!F63=0,"Off",TEXT(MOD(Calc!T63,1),"h:mm AM/PM")&amp;IF(Calc!T63&gt;=1," (+1)","")&amp;" - "&amp;TEXT(MOD(Calc!AA63,1),"h:mm AM/PM")&amp;IF(Calc!AA63&gt;1," (+1)",""))))</f>
        <v/>
      </c>
      <c r="D63" s="13" t="str">
        <f aca="false">IF(Calc!$B63=0,"",IF(Calc!G$3=0,"Closed",IF(Calc!G63=0,"Off",TEXT(MOD(Calc!U63,1),"h:mm AM/PM")&amp;IF(Calc!U63&gt;=1," (+1)","")&amp;" - "&amp;TEXT(MOD(Calc!AB63,1),"h:mm AM/PM")&amp;IF(Calc!AB63&gt;1," (+1)",""))))</f>
        <v/>
      </c>
      <c r="E63" s="13" t="str">
        <f aca="false">IF(Calc!$B63=0,"",IF(Calc!H$3=0,"Closed",IF(Calc!H63=0,"Off",TEXT(MOD(Calc!V63,1),"h:mm AM/PM")&amp;IF(Calc!V63&gt;=1," (+1)","")&amp;" - "&amp;TEXT(MOD(Calc!AC63,1),"h:mm AM/PM")&amp;IF(Calc!AC63&gt;1," (+1)",""))))</f>
        <v/>
      </c>
      <c r="F63" s="13" t="str">
        <f aca="false">IF(Calc!$B63=0,"",IF(Calc!I$3=0,"Closed",IF(Calc!I63=0,"Off",TEXT(MOD(Calc!W63,1),"h:mm AM/PM")&amp;IF(Calc!W63&gt;=1," (+1)","")&amp;" - "&amp;TEXT(MOD(Calc!AD63,1),"h:mm AM/PM")&amp;IF(Calc!AD63&gt;1," (+1)",""))))</f>
        <v/>
      </c>
      <c r="G63" s="13" t="str">
        <f aca="false">IF(Calc!$B63=0,"",IF(Calc!J$3=0,"Closed",IF(Calc!J63=0,"Off",TEXT(MOD(Calc!X63,1),"h:mm AM/PM")&amp;IF(Calc!X63&gt;=1," (+1)","")&amp;" - "&amp;TEXT(MOD(Calc!AE63,1),"h:mm AM/PM")&amp;IF(Calc!AE63&gt;1," (+1)",""))))</f>
        <v/>
      </c>
      <c r="H63" s="13" t="str">
        <f aca="false">IF(Calc!$B63=0,"",IF(Calc!K$3=0,"Closed",IF(Calc!K63=0,"Off",TEXT(MOD(Calc!Y63,1),"h:mm AM/PM")&amp;IF(Calc!Y63&gt;=1," (+1)","")&amp;" - "&amp;TEXT(MOD(Calc!AF63,1),"h:mm AM/PM")&amp;IF(Calc!AF63&gt;1," (+1)",""))))</f>
        <v/>
      </c>
      <c r="I63" s="13" t="str">
        <f aca="false">IF(Calc!$B63=0,"",IF(Calc!L$3=0,"Closed",IF(Calc!L63=0,"Off",TEXT(MOD(Calc!Z63,1),"h:mm AM/PM")&amp;IF(Calc!Z63&gt;=1," (+1)","")&amp;" - "&amp;TEXT(MOD(Calc!AG63,1),"h:mm AM/PM")&amp;IF(Calc!AG63&gt;1," (+1)",""))))</f>
        <v/>
      </c>
      <c r="J63" s="12" t="str">
        <f aca="false">IF(Calc!B63=0,"",(SUM(Calc!AA63:AG63)-SUM(Calc!T63:Z63))*24)</f>
        <v/>
      </c>
      <c r="K63" s="6" t="str">
        <f aca="false">IF(Calc!B63=0,"",SUM(Calc!F63:L63))</f>
        <v/>
      </c>
      <c r="L63" s="6" t="str">
        <f aca="false">IF(Calc!B63=0,"",IF(Inputs!$B$6=0,"None",CHOOSE(Calc!D63+1,"Mon","Tue","Wed","Thu","Fri","Sat","Sun")&amp;" to "&amp;CHOOSE(MOD(Calc!D63+Inputs!$B$6-1,7)+1,"Mon","Tue","Wed","Thu","Fri","Sat","Sun")))</f>
        <v/>
      </c>
    </row>
    <row r="64" customFormat="false" ht="15" hidden="false" customHeight="false" outlineLevel="0" collapsed="false">
      <c r="A64" s="6" t="str">
        <f aca="false">IF(Calc!B64=1,59,"")</f>
        <v/>
      </c>
      <c r="B64" s="6" t="str">
        <f aca="false">IF(Calc!B64=0,"",IF(Inputs!B81&lt;&gt;"",Inputs!B81,"Agent "&amp;59))</f>
        <v/>
      </c>
      <c r="C64" s="13" t="str">
        <f aca="false">IF(Calc!$B64=0,"",IF(Calc!F$3=0,"Closed",IF(Calc!F64=0,"Off",TEXT(MOD(Calc!T64,1),"h:mm AM/PM")&amp;IF(Calc!T64&gt;=1," (+1)","")&amp;" - "&amp;TEXT(MOD(Calc!AA64,1),"h:mm AM/PM")&amp;IF(Calc!AA64&gt;1," (+1)",""))))</f>
        <v/>
      </c>
      <c r="D64" s="13" t="str">
        <f aca="false">IF(Calc!$B64=0,"",IF(Calc!G$3=0,"Closed",IF(Calc!G64=0,"Off",TEXT(MOD(Calc!U64,1),"h:mm AM/PM")&amp;IF(Calc!U64&gt;=1," (+1)","")&amp;" - "&amp;TEXT(MOD(Calc!AB64,1),"h:mm AM/PM")&amp;IF(Calc!AB64&gt;1," (+1)",""))))</f>
        <v/>
      </c>
      <c r="E64" s="13" t="str">
        <f aca="false">IF(Calc!$B64=0,"",IF(Calc!H$3=0,"Closed",IF(Calc!H64=0,"Off",TEXT(MOD(Calc!V64,1),"h:mm AM/PM")&amp;IF(Calc!V64&gt;=1," (+1)","")&amp;" - "&amp;TEXT(MOD(Calc!AC64,1),"h:mm AM/PM")&amp;IF(Calc!AC64&gt;1," (+1)",""))))</f>
        <v/>
      </c>
      <c r="F64" s="13" t="str">
        <f aca="false">IF(Calc!$B64=0,"",IF(Calc!I$3=0,"Closed",IF(Calc!I64=0,"Off",TEXT(MOD(Calc!W64,1),"h:mm AM/PM")&amp;IF(Calc!W64&gt;=1," (+1)","")&amp;" - "&amp;TEXT(MOD(Calc!AD64,1),"h:mm AM/PM")&amp;IF(Calc!AD64&gt;1," (+1)",""))))</f>
        <v/>
      </c>
      <c r="G64" s="13" t="str">
        <f aca="false">IF(Calc!$B64=0,"",IF(Calc!J$3=0,"Closed",IF(Calc!J64=0,"Off",TEXT(MOD(Calc!X64,1),"h:mm AM/PM")&amp;IF(Calc!X64&gt;=1," (+1)","")&amp;" - "&amp;TEXT(MOD(Calc!AE64,1),"h:mm AM/PM")&amp;IF(Calc!AE64&gt;1," (+1)",""))))</f>
        <v/>
      </c>
      <c r="H64" s="13" t="str">
        <f aca="false">IF(Calc!$B64=0,"",IF(Calc!K$3=0,"Closed",IF(Calc!K64=0,"Off",TEXT(MOD(Calc!Y64,1),"h:mm AM/PM")&amp;IF(Calc!Y64&gt;=1," (+1)","")&amp;" - "&amp;TEXT(MOD(Calc!AF64,1),"h:mm AM/PM")&amp;IF(Calc!AF64&gt;1," (+1)",""))))</f>
        <v/>
      </c>
      <c r="I64" s="13" t="str">
        <f aca="false">IF(Calc!$B64=0,"",IF(Calc!L$3=0,"Closed",IF(Calc!L64=0,"Off",TEXT(MOD(Calc!Z64,1),"h:mm AM/PM")&amp;IF(Calc!Z64&gt;=1," (+1)","")&amp;" - "&amp;TEXT(MOD(Calc!AG64,1),"h:mm AM/PM")&amp;IF(Calc!AG64&gt;1," (+1)",""))))</f>
        <v/>
      </c>
      <c r="J64" s="12" t="str">
        <f aca="false">IF(Calc!B64=0,"",(SUM(Calc!AA64:AG64)-SUM(Calc!T64:Z64))*24)</f>
        <v/>
      </c>
      <c r="K64" s="6" t="str">
        <f aca="false">IF(Calc!B64=0,"",SUM(Calc!F64:L64))</f>
        <v/>
      </c>
      <c r="L64" s="6" t="str">
        <f aca="false">IF(Calc!B64=0,"",IF(Inputs!$B$6=0,"None",CHOOSE(Calc!D64+1,"Mon","Tue","Wed","Thu","Fri","Sat","Sun")&amp;" to "&amp;CHOOSE(MOD(Calc!D64+Inputs!$B$6-1,7)+1,"Mon","Tue","Wed","Thu","Fri","Sat","Sun")))</f>
        <v/>
      </c>
    </row>
    <row r="65" customFormat="false" ht="15" hidden="false" customHeight="false" outlineLevel="0" collapsed="false">
      <c r="A65" s="6" t="str">
        <f aca="false">IF(Calc!B65=1,60,"")</f>
        <v/>
      </c>
      <c r="B65" s="6" t="str">
        <f aca="false">IF(Calc!B65=0,"",IF(Inputs!B82&lt;&gt;"",Inputs!B82,"Agent "&amp;60))</f>
        <v/>
      </c>
      <c r="C65" s="13" t="str">
        <f aca="false">IF(Calc!$B65=0,"",IF(Calc!F$3=0,"Closed",IF(Calc!F65=0,"Off",TEXT(MOD(Calc!T65,1),"h:mm AM/PM")&amp;IF(Calc!T65&gt;=1," (+1)","")&amp;" - "&amp;TEXT(MOD(Calc!AA65,1),"h:mm AM/PM")&amp;IF(Calc!AA65&gt;1," (+1)",""))))</f>
        <v/>
      </c>
      <c r="D65" s="13" t="str">
        <f aca="false">IF(Calc!$B65=0,"",IF(Calc!G$3=0,"Closed",IF(Calc!G65=0,"Off",TEXT(MOD(Calc!U65,1),"h:mm AM/PM")&amp;IF(Calc!U65&gt;=1," (+1)","")&amp;" - "&amp;TEXT(MOD(Calc!AB65,1),"h:mm AM/PM")&amp;IF(Calc!AB65&gt;1," (+1)",""))))</f>
        <v/>
      </c>
      <c r="E65" s="13" t="str">
        <f aca="false">IF(Calc!$B65=0,"",IF(Calc!H$3=0,"Closed",IF(Calc!H65=0,"Off",TEXT(MOD(Calc!V65,1),"h:mm AM/PM")&amp;IF(Calc!V65&gt;=1," (+1)","")&amp;" - "&amp;TEXT(MOD(Calc!AC65,1),"h:mm AM/PM")&amp;IF(Calc!AC65&gt;1," (+1)",""))))</f>
        <v/>
      </c>
      <c r="F65" s="13" t="str">
        <f aca="false">IF(Calc!$B65=0,"",IF(Calc!I$3=0,"Closed",IF(Calc!I65=0,"Off",TEXT(MOD(Calc!W65,1),"h:mm AM/PM")&amp;IF(Calc!W65&gt;=1," (+1)","")&amp;" - "&amp;TEXT(MOD(Calc!AD65,1),"h:mm AM/PM")&amp;IF(Calc!AD65&gt;1," (+1)",""))))</f>
        <v/>
      </c>
      <c r="G65" s="13" t="str">
        <f aca="false">IF(Calc!$B65=0,"",IF(Calc!J$3=0,"Closed",IF(Calc!J65=0,"Off",TEXT(MOD(Calc!X65,1),"h:mm AM/PM")&amp;IF(Calc!X65&gt;=1," (+1)","")&amp;" - "&amp;TEXT(MOD(Calc!AE65,1),"h:mm AM/PM")&amp;IF(Calc!AE65&gt;1," (+1)",""))))</f>
        <v/>
      </c>
      <c r="H65" s="13" t="str">
        <f aca="false">IF(Calc!$B65=0,"",IF(Calc!K$3=0,"Closed",IF(Calc!K65=0,"Off",TEXT(MOD(Calc!Y65,1),"h:mm AM/PM")&amp;IF(Calc!Y65&gt;=1," (+1)","")&amp;" - "&amp;TEXT(MOD(Calc!AF65,1),"h:mm AM/PM")&amp;IF(Calc!AF65&gt;1," (+1)",""))))</f>
        <v/>
      </c>
      <c r="I65" s="13" t="str">
        <f aca="false">IF(Calc!$B65=0,"",IF(Calc!L$3=0,"Closed",IF(Calc!L65=0,"Off",TEXT(MOD(Calc!Z65,1),"h:mm AM/PM")&amp;IF(Calc!Z65&gt;=1," (+1)","")&amp;" - "&amp;TEXT(MOD(Calc!AG65,1),"h:mm AM/PM")&amp;IF(Calc!AG65&gt;1," (+1)",""))))</f>
        <v/>
      </c>
      <c r="J65" s="12" t="str">
        <f aca="false">IF(Calc!B65=0,"",(SUM(Calc!AA65:AG65)-SUM(Calc!T65:Z65))*24)</f>
        <v/>
      </c>
      <c r="K65" s="6" t="str">
        <f aca="false">IF(Calc!B65=0,"",SUM(Calc!F65:L65))</f>
        <v/>
      </c>
      <c r="L65" s="6" t="str">
        <f aca="false">IF(Calc!B65=0,"",IF(Inputs!$B$6=0,"None",CHOOSE(Calc!D65+1,"Mon","Tue","Wed","Thu","Fri","Sat","Sun")&amp;" to "&amp;CHOOSE(MOD(Calc!D65+Inputs!$B$6-1,7)+1,"Mon","Tue","Wed","Thu","Fri","Sat","Sun")))</f>
        <v/>
      </c>
    </row>
    <row r="66" customFormat="false" ht="15" hidden="false" customHeight="false" outlineLevel="0" collapsed="false">
      <c r="A66" s="6" t="str">
        <f aca="false">IF(Calc!B66=1,61,"")</f>
        <v/>
      </c>
      <c r="B66" s="6" t="str">
        <f aca="false">IF(Calc!B66=0,"",IF(Inputs!B83&lt;&gt;"",Inputs!B83,"Agent "&amp;61))</f>
        <v/>
      </c>
      <c r="C66" s="13" t="str">
        <f aca="false">IF(Calc!$B66=0,"",IF(Calc!F$3=0,"Closed",IF(Calc!F66=0,"Off",TEXT(MOD(Calc!T66,1),"h:mm AM/PM")&amp;IF(Calc!T66&gt;=1," (+1)","")&amp;" - "&amp;TEXT(MOD(Calc!AA66,1),"h:mm AM/PM")&amp;IF(Calc!AA66&gt;1," (+1)",""))))</f>
        <v/>
      </c>
      <c r="D66" s="13" t="str">
        <f aca="false">IF(Calc!$B66=0,"",IF(Calc!G$3=0,"Closed",IF(Calc!G66=0,"Off",TEXT(MOD(Calc!U66,1),"h:mm AM/PM")&amp;IF(Calc!U66&gt;=1," (+1)","")&amp;" - "&amp;TEXT(MOD(Calc!AB66,1),"h:mm AM/PM")&amp;IF(Calc!AB66&gt;1," (+1)",""))))</f>
        <v/>
      </c>
      <c r="E66" s="13" t="str">
        <f aca="false">IF(Calc!$B66=0,"",IF(Calc!H$3=0,"Closed",IF(Calc!H66=0,"Off",TEXT(MOD(Calc!V66,1),"h:mm AM/PM")&amp;IF(Calc!V66&gt;=1," (+1)","")&amp;" - "&amp;TEXT(MOD(Calc!AC66,1),"h:mm AM/PM")&amp;IF(Calc!AC66&gt;1," (+1)",""))))</f>
        <v/>
      </c>
      <c r="F66" s="13" t="str">
        <f aca="false">IF(Calc!$B66=0,"",IF(Calc!I$3=0,"Closed",IF(Calc!I66=0,"Off",TEXT(MOD(Calc!W66,1),"h:mm AM/PM")&amp;IF(Calc!W66&gt;=1," (+1)","")&amp;" - "&amp;TEXT(MOD(Calc!AD66,1),"h:mm AM/PM")&amp;IF(Calc!AD66&gt;1," (+1)",""))))</f>
        <v/>
      </c>
      <c r="G66" s="13" t="str">
        <f aca="false">IF(Calc!$B66=0,"",IF(Calc!J$3=0,"Closed",IF(Calc!J66=0,"Off",TEXT(MOD(Calc!X66,1),"h:mm AM/PM")&amp;IF(Calc!X66&gt;=1," (+1)","")&amp;" - "&amp;TEXT(MOD(Calc!AE66,1),"h:mm AM/PM")&amp;IF(Calc!AE66&gt;1," (+1)",""))))</f>
        <v/>
      </c>
      <c r="H66" s="13" t="str">
        <f aca="false">IF(Calc!$B66=0,"",IF(Calc!K$3=0,"Closed",IF(Calc!K66=0,"Off",TEXT(MOD(Calc!Y66,1),"h:mm AM/PM")&amp;IF(Calc!Y66&gt;=1," (+1)","")&amp;" - "&amp;TEXT(MOD(Calc!AF66,1),"h:mm AM/PM")&amp;IF(Calc!AF66&gt;1," (+1)",""))))</f>
        <v/>
      </c>
      <c r="I66" s="13" t="str">
        <f aca="false">IF(Calc!$B66=0,"",IF(Calc!L$3=0,"Closed",IF(Calc!L66=0,"Off",TEXT(MOD(Calc!Z66,1),"h:mm AM/PM")&amp;IF(Calc!Z66&gt;=1," (+1)","")&amp;" - "&amp;TEXT(MOD(Calc!AG66,1),"h:mm AM/PM")&amp;IF(Calc!AG66&gt;1," (+1)",""))))</f>
        <v/>
      </c>
      <c r="J66" s="12" t="str">
        <f aca="false">IF(Calc!B66=0,"",(SUM(Calc!AA66:AG66)-SUM(Calc!T66:Z66))*24)</f>
        <v/>
      </c>
      <c r="K66" s="6" t="str">
        <f aca="false">IF(Calc!B66=0,"",SUM(Calc!F66:L66))</f>
        <v/>
      </c>
      <c r="L66" s="6" t="str">
        <f aca="false">IF(Calc!B66=0,"",IF(Inputs!$B$6=0,"None",CHOOSE(Calc!D66+1,"Mon","Tue","Wed","Thu","Fri","Sat","Sun")&amp;" to "&amp;CHOOSE(MOD(Calc!D66+Inputs!$B$6-1,7)+1,"Mon","Tue","Wed","Thu","Fri","Sat","Sun")))</f>
        <v/>
      </c>
    </row>
    <row r="67" customFormat="false" ht="15" hidden="false" customHeight="false" outlineLevel="0" collapsed="false">
      <c r="A67" s="6" t="str">
        <f aca="false">IF(Calc!B67=1,62,"")</f>
        <v/>
      </c>
      <c r="B67" s="6" t="str">
        <f aca="false">IF(Calc!B67=0,"",IF(Inputs!B84&lt;&gt;"",Inputs!B84,"Agent "&amp;62))</f>
        <v/>
      </c>
      <c r="C67" s="13" t="str">
        <f aca="false">IF(Calc!$B67=0,"",IF(Calc!F$3=0,"Closed",IF(Calc!F67=0,"Off",TEXT(MOD(Calc!T67,1),"h:mm AM/PM")&amp;IF(Calc!T67&gt;=1," (+1)","")&amp;" - "&amp;TEXT(MOD(Calc!AA67,1),"h:mm AM/PM")&amp;IF(Calc!AA67&gt;1," (+1)",""))))</f>
        <v/>
      </c>
      <c r="D67" s="13" t="str">
        <f aca="false">IF(Calc!$B67=0,"",IF(Calc!G$3=0,"Closed",IF(Calc!G67=0,"Off",TEXT(MOD(Calc!U67,1),"h:mm AM/PM")&amp;IF(Calc!U67&gt;=1," (+1)","")&amp;" - "&amp;TEXT(MOD(Calc!AB67,1),"h:mm AM/PM")&amp;IF(Calc!AB67&gt;1," (+1)",""))))</f>
        <v/>
      </c>
      <c r="E67" s="13" t="str">
        <f aca="false">IF(Calc!$B67=0,"",IF(Calc!H$3=0,"Closed",IF(Calc!H67=0,"Off",TEXT(MOD(Calc!V67,1),"h:mm AM/PM")&amp;IF(Calc!V67&gt;=1," (+1)","")&amp;" - "&amp;TEXT(MOD(Calc!AC67,1),"h:mm AM/PM")&amp;IF(Calc!AC67&gt;1," (+1)",""))))</f>
        <v/>
      </c>
      <c r="F67" s="13" t="str">
        <f aca="false">IF(Calc!$B67=0,"",IF(Calc!I$3=0,"Closed",IF(Calc!I67=0,"Off",TEXT(MOD(Calc!W67,1),"h:mm AM/PM")&amp;IF(Calc!W67&gt;=1," (+1)","")&amp;" - "&amp;TEXT(MOD(Calc!AD67,1),"h:mm AM/PM")&amp;IF(Calc!AD67&gt;1," (+1)",""))))</f>
        <v/>
      </c>
      <c r="G67" s="13" t="str">
        <f aca="false">IF(Calc!$B67=0,"",IF(Calc!J$3=0,"Closed",IF(Calc!J67=0,"Off",TEXT(MOD(Calc!X67,1),"h:mm AM/PM")&amp;IF(Calc!X67&gt;=1," (+1)","")&amp;" - "&amp;TEXT(MOD(Calc!AE67,1),"h:mm AM/PM")&amp;IF(Calc!AE67&gt;1," (+1)",""))))</f>
        <v/>
      </c>
      <c r="H67" s="13" t="str">
        <f aca="false">IF(Calc!$B67=0,"",IF(Calc!K$3=0,"Closed",IF(Calc!K67=0,"Off",TEXT(MOD(Calc!Y67,1),"h:mm AM/PM")&amp;IF(Calc!Y67&gt;=1," (+1)","")&amp;" - "&amp;TEXT(MOD(Calc!AF67,1),"h:mm AM/PM")&amp;IF(Calc!AF67&gt;1," (+1)",""))))</f>
        <v/>
      </c>
      <c r="I67" s="13" t="str">
        <f aca="false">IF(Calc!$B67=0,"",IF(Calc!L$3=0,"Closed",IF(Calc!L67=0,"Off",TEXT(MOD(Calc!Z67,1),"h:mm AM/PM")&amp;IF(Calc!Z67&gt;=1," (+1)","")&amp;" - "&amp;TEXT(MOD(Calc!AG67,1),"h:mm AM/PM")&amp;IF(Calc!AG67&gt;1," (+1)",""))))</f>
        <v/>
      </c>
      <c r="J67" s="12" t="str">
        <f aca="false">IF(Calc!B67=0,"",(SUM(Calc!AA67:AG67)-SUM(Calc!T67:Z67))*24)</f>
        <v/>
      </c>
      <c r="K67" s="6" t="str">
        <f aca="false">IF(Calc!B67=0,"",SUM(Calc!F67:L67))</f>
        <v/>
      </c>
      <c r="L67" s="6" t="str">
        <f aca="false">IF(Calc!B67=0,"",IF(Inputs!$B$6=0,"None",CHOOSE(Calc!D67+1,"Mon","Tue","Wed","Thu","Fri","Sat","Sun")&amp;" to "&amp;CHOOSE(MOD(Calc!D67+Inputs!$B$6-1,7)+1,"Mon","Tue","Wed","Thu","Fri","Sat","Sun")))</f>
        <v/>
      </c>
    </row>
    <row r="68" customFormat="false" ht="15" hidden="false" customHeight="false" outlineLevel="0" collapsed="false">
      <c r="A68" s="6" t="str">
        <f aca="false">IF(Calc!B68=1,63,"")</f>
        <v/>
      </c>
      <c r="B68" s="6" t="str">
        <f aca="false">IF(Calc!B68=0,"",IF(Inputs!B85&lt;&gt;"",Inputs!B85,"Agent "&amp;63))</f>
        <v/>
      </c>
      <c r="C68" s="13" t="str">
        <f aca="false">IF(Calc!$B68=0,"",IF(Calc!F$3=0,"Closed",IF(Calc!F68=0,"Off",TEXT(MOD(Calc!T68,1),"h:mm AM/PM")&amp;IF(Calc!T68&gt;=1," (+1)","")&amp;" - "&amp;TEXT(MOD(Calc!AA68,1),"h:mm AM/PM")&amp;IF(Calc!AA68&gt;1," (+1)",""))))</f>
        <v/>
      </c>
      <c r="D68" s="13" t="str">
        <f aca="false">IF(Calc!$B68=0,"",IF(Calc!G$3=0,"Closed",IF(Calc!G68=0,"Off",TEXT(MOD(Calc!U68,1),"h:mm AM/PM")&amp;IF(Calc!U68&gt;=1," (+1)","")&amp;" - "&amp;TEXT(MOD(Calc!AB68,1),"h:mm AM/PM")&amp;IF(Calc!AB68&gt;1," (+1)",""))))</f>
        <v/>
      </c>
      <c r="E68" s="13" t="str">
        <f aca="false">IF(Calc!$B68=0,"",IF(Calc!H$3=0,"Closed",IF(Calc!H68=0,"Off",TEXT(MOD(Calc!V68,1),"h:mm AM/PM")&amp;IF(Calc!V68&gt;=1," (+1)","")&amp;" - "&amp;TEXT(MOD(Calc!AC68,1),"h:mm AM/PM")&amp;IF(Calc!AC68&gt;1," (+1)",""))))</f>
        <v/>
      </c>
      <c r="F68" s="13" t="str">
        <f aca="false">IF(Calc!$B68=0,"",IF(Calc!I$3=0,"Closed",IF(Calc!I68=0,"Off",TEXT(MOD(Calc!W68,1),"h:mm AM/PM")&amp;IF(Calc!W68&gt;=1," (+1)","")&amp;" - "&amp;TEXT(MOD(Calc!AD68,1),"h:mm AM/PM")&amp;IF(Calc!AD68&gt;1," (+1)",""))))</f>
        <v/>
      </c>
      <c r="G68" s="13" t="str">
        <f aca="false">IF(Calc!$B68=0,"",IF(Calc!J$3=0,"Closed",IF(Calc!J68=0,"Off",TEXT(MOD(Calc!X68,1),"h:mm AM/PM")&amp;IF(Calc!X68&gt;=1," (+1)","")&amp;" - "&amp;TEXT(MOD(Calc!AE68,1),"h:mm AM/PM")&amp;IF(Calc!AE68&gt;1," (+1)",""))))</f>
        <v/>
      </c>
      <c r="H68" s="13" t="str">
        <f aca="false">IF(Calc!$B68=0,"",IF(Calc!K$3=0,"Closed",IF(Calc!K68=0,"Off",TEXT(MOD(Calc!Y68,1),"h:mm AM/PM")&amp;IF(Calc!Y68&gt;=1," (+1)","")&amp;" - "&amp;TEXT(MOD(Calc!AF68,1),"h:mm AM/PM")&amp;IF(Calc!AF68&gt;1," (+1)",""))))</f>
        <v/>
      </c>
      <c r="I68" s="13" t="str">
        <f aca="false">IF(Calc!$B68=0,"",IF(Calc!L$3=0,"Closed",IF(Calc!L68=0,"Off",TEXT(MOD(Calc!Z68,1),"h:mm AM/PM")&amp;IF(Calc!Z68&gt;=1," (+1)","")&amp;" - "&amp;TEXT(MOD(Calc!AG68,1),"h:mm AM/PM")&amp;IF(Calc!AG68&gt;1," (+1)",""))))</f>
        <v/>
      </c>
      <c r="J68" s="12" t="str">
        <f aca="false">IF(Calc!B68=0,"",(SUM(Calc!AA68:AG68)-SUM(Calc!T68:Z68))*24)</f>
        <v/>
      </c>
      <c r="K68" s="6" t="str">
        <f aca="false">IF(Calc!B68=0,"",SUM(Calc!F68:L68))</f>
        <v/>
      </c>
      <c r="L68" s="6" t="str">
        <f aca="false">IF(Calc!B68=0,"",IF(Inputs!$B$6=0,"None",CHOOSE(Calc!D68+1,"Mon","Tue","Wed","Thu","Fri","Sat","Sun")&amp;" to "&amp;CHOOSE(MOD(Calc!D68+Inputs!$B$6-1,7)+1,"Mon","Tue","Wed","Thu","Fri","Sat","Sun")))</f>
        <v/>
      </c>
    </row>
    <row r="69" customFormat="false" ht="15" hidden="false" customHeight="false" outlineLevel="0" collapsed="false">
      <c r="A69" s="6" t="str">
        <f aca="false">IF(Calc!B69=1,64,"")</f>
        <v/>
      </c>
      <c r="B69" s="6" t="str">
        <f aca="false">IF(Calc!B69=0,"",IF(Inputs!B86&lt;&gt;"",Inputs!B86,"Agent "&amp;64))</f>
        <v/>
      </c>
      <c r="C69" s="13" t="str">
        <f aca="false">IF(Calc!$B69=0,"",IF(Calc!F$3=0,"Closed",IF(Calc!F69=0,"Off",TEXT(MOD(Calc!T69,1),"h:mm AM/PM")&amp;IF(Calc!T69&gt;=1," (+1)","")&amp;" - "&amp;TEXT(MOD(Calc!AA69,1),"h:mm AM/PM")&amp;IF(Calc!AA69&gt;1," (+1)",""))))</f>
        <v/>
      </c>
      <c r="D69" s="13" t="str">
        <f aca="false">IF(Calc!$B69=0,"",IF(Calc!G$3=0,"Closed",IF(Calc!G69=0,"Off",TEXT(MOD(Calc!U69,1),"h:mm AM/PM")&amp;IF(Calc!U69&gt;=1," (+1)","")&amp;" - "&amp;TEXT(MOD(Calc!AB69,1),"h:mm AM/PM")&amp;IF(Calc!AB69&gt;1," (+1)",""))))</f>
        <v/>
      </c>
      <c r="E69" s="13" t="str">
        <f aca="false">IF(Calc!$B69=0,"",IF(Calc!H$3=0,"Closed",IF(Calc!H69=0,"Off",TEXT(MOD(Calc!V69,1),"h:mm AM/PM")&amp;IF(Calc!V69&gt;=1," (+1)","")&amp;" - "&amp;TEXT(MOD(Calc!AC69,1),"h:mm AM/PM")&amp;IF(Calc!AC69&gt;1," (+1)",""))))</f>
        <v/>
      </c>
      <c r="F69" s="13" t="str">
        <f aca="false">IF(Calc!$B69=0,"",IF(Calc!I$3=0,"Closed",IF(Calc!I69=0,"Off",TEXT(MOD(Calc!W69,1),"h:mm AM/PM")&amp;IF(Calc!W69&gt;=1," (+1)","")&amp;" - "&amp;TEXT(MOD(Calc!AD69,1),"h:mm AM/PM")&amp;IF(Calc!AD69&gt;1," (+1)",""))))</f>
        <v/>
      </c>
      <c r="G69" s="13" t="str">
        <f aca="false">IF(Calc!$B69=0,"",IF(Calc!J$3=0,"Closed",IF(Calc!J69=0,"Off",TEXT(MOD(Calc!X69,1),"h:mm AM/PM")&amp;IF(Calc!X69&gt;=1," (+1)","")&amp;" - "&amp;TEXT(MOD(Calc!AE69,1),"h:mm AM/PM")&amp;IF(Calc!AE69&gt;1," (+1)",""))))</f>
        <v/>
      </c>
      <c r="H69" s="13" t="str">
        <f aca="false">IF(Calc!$B69=0,"",IF(Calc!K$3=0,"Closed",IF(Calc!K69=0,"Off",TEXT(MOD(Calc!Y69,1),"h:mm AM/PM")&amp;IF(Calc!Y69&gt;=1," (+1)","")&amp;" - "&amp;TEXT(MOD(Calc!AF69,1),"h:mm AM/PM")&amp;IF(Calc!AF69&gt;1," (+1)",""))))</f>
        <v/>
      </c>
      <c r="I69" s="13" t="str">
        <f aca="false">IF(Calc!$B69=0,"",IF(Calc!L$3=0,"Closed",IF(Calc!L69=0,"Off",TEXT(MOD(Calc!Z69,1),"h:mm AM/PM")&amp;IF(Calc!Z69&gt;=1," (+1)","")&amp;" - "&amp;TEXT(MOD(Calc!AG69,1),"h:mm AM/PM")&amp;IF(Calc!AG69&gt;1," (+1)",""))))</f>
        <v/>
      </c>
      <c r="J69" s="12" t="str">
        <f aca="false">IF(Calc!B69=0,"",(SUM(Calc!AA69:AG69)-SUM(Calc!T69:Z69))*24)</f>
        <v/>
      </c>
      <c r="K69" s="6" t="str">
        <f aca="false">IF(Calc!B69=0,"",SUM(Calc!F69:L69))</f>
        <v/>
      </c>
      <c r="L69" s="6" t="str">
        <f aca="false">IF(Calc!B69=0,"",IF(Inputs!$B$6=0,"None",CHOOSE(Calc!D69+1,"Mon","Tue","Wed","Thu","Fri","Sat","Sun")&amp;" to "&amp;CHOOSE(MOD(Calc!D69+Inputs!$B$6-1,7)+1,"Mon","Tue","Wed","Thu","Fri","Sat","Sun")))</f>
        <v/>
      </c>
    </row>
    <row r="70" customFormat="false" ht="15" hidden="false" customHeight="false" outlineLevel="0" collapsed="false">
      <c r="A70" s="6" t="str">
        <f aca="false">IF(Calc!B70=1,65,"")</f>
        <v/>
      </c>
      <c r="B70" s="6" t="str">
        <f aca="false">IF(Calc!B70=0,"",IF(Inputs!B87&lt;&gt;"",Inputs!B87,"Agent "&amp;65))</f>
        <v/>
      </c>
      <c r="C70" s="13" t="str">
        <f aca="false">IF(Calc!$B70=0,"",IF(Calc!F$3=0,"Closed",IF(Calc!F70=0,"Off",TEXT(MOD(Calc!T70,1),"h:mm AM/PM")&amp;IF(Calc!T70&gt;=1," (+1)","")&amp;" - "&amp;TEXT(MOD(Calc!AA70,1),"h:mm AM/PM")&amp;IF(Calc!AA70&gt;1," (+1)",""))))</f>
        <v/>
      </c>
      <c r="D70" s="13" t="str">
        <f aca="false">IF(Calc!$B70=0,"",IF(Calc!G$3=0,"Closed",IF(Calc!G70=0,"Off",TEXT(MOD(Calc!U70,1),"h:mm AM/PM")&amp;IF(Calc!U70&gt;=1," (+1)","")&amp;" - "&amp;TEXT(MOD(Calc!AB70,1),"h:mm AM/PM")&amp;IF(Calc!AB70&gt;1," (+1)",""))))</f>
        <v/>
      </c>
      <c r="E70" s="13" t="str">
        <f aca="false">IF(Calc!$B70=0,"",IF(Calc!H$3=0,"Closed",IF(Calc!H70=0,"Off",TEXT(MOD(Calc!V70,1),"h:mm AM/PM")&amp;IF(Calc!V70&gt;=1," (+1)","")&amp;" - "&amp;TEXT(MOD(Calc!AC70,1),"h:mm AM/PM")&amp;IF(Calc!AC70&gt;1," (+1)",""))))</f>
        <v/>
      </c>
      <c r="F70" s="13" t="str">
        <f aca="false">IF(Calc!$B70=0,"",IF(Calc!I$3=0,"Closed",IF(Calc!I70=0,"Off",TEXT(MOD(Calc!W70,1),"h:mm AM/PM")&amp;IF(Calc!W70&gt;=1," (+1)","")&amp;" - "&amp;TEXT(MOD(Calc!AD70,1),"h:mm AM/PM")&amp;IF(Calc!AD70&gt;1," (+1)",""))))</f>
        <v/>
      </c>
      <c r="G70" s="13" t="str">
        <f aca="false">IF(Calc!$B70=0,"",IF(Calc!J$3=0,"Closed",IF(Calc!J70=0,"Off",TEXT(MOD(Calc!X70,1),"h:mm AM/PM")&amp;IF(Calc!X70&gt;=1," (+1)","")&amp;" - "&amp;TEXT(MOD(Calc!AE70,1),"h:mm AM/PM")&amp;IF(Calc!AE70&gt;1," (+1)",""))))</f>
        <v/>
      </c>
      <c r="H70" s="13" t="str">
        <f aca="false">IF(Calc!$B70=0,"",IF(Calc!K$3=0,"Closed",IF(Calc!K70=0,"Off",TEXT(MOD(Calc!Y70,1),"h:mm AM/PM")&amp;IF(Calc!Y70&gt;=1," (+1)","")&amp;" - "&amp;TEXT(MOD(Calc!AF70,1),"h:mm AM/PM")&amp;IF(Calc!AF70&gt;1," (+1)",""))))</f>
        <v/>
      </c>
      <c r="I70" s="13" t="str">
        <f aca="false">IF(Calc!$B70=0,"",IF(Calc!L$3=0,"Closed",IF(Calc!L70=0,"Off",TEXT(MOD(Calc!Z70,1),"h:mm AM/PM")&amp;IF(Calc!Z70&gt;=1," (+1)","")&amp;" - "&amp;TEXT(MOD(Calc!AG70,1),"h:mm AM/PM")&amp;IF(Calc!AG70&gt;1," (+1)",""))))</f>
        <v/>
      </c>
      <c r="J70" s="12" t="str">
        <f aca="false">IF(Calc!B70=0,"",(SUM(Calc!AA70:AG70)-SUM(Calc!T70:Z70))*24)</f>
        <v/>
      </c>
      <c r="K70" s="6" t="str">
        <f aca="false">IF(Calc!B70=0,"",SUM(Calc!F70:L70))</f>
        <v/>
      </c>
      <c r="L70" s="6" t="str">
        <f aca="false">IF(Calc!B70=0,"",IF(Inputs!$B$6=0,"None",CHOOSE(Calc!D70+1,"Mon","Tue","Wed","Thu","Fri","Sat","Sun")&amp;" to "&amp;CHOOSE(MOD(Calc!D70+Inputs!$B$6-1,7)+1,"Mon","Tue","Wed","Thu","Fri","Sat","Sun")))</f>
        <v/>
      </c>
    </row>
    <row r="71" customFormat="false" ht="15" hidden="false" customHeight="false" outlineLevel="0" collapsed="false">
      <c r="A71" s="6" t="str">
        <f aca="false">IF(Calc!B71=1,66,"")</f>
        <v/>
      </c>
      <c r="B71" s="6" t="str">
        <f aca="false">IF(Calc!B71=0,"",IF(Inputs!B88&lt;&gt;"",Inputs!B88,"Agent "&amp;66))</f>
        <v/>
      </c>
      <c r="C71" s="13" t="str">
        <f aca="false">IF(Calc!$B71=0,"",IF(Calc!F$3=0,"Closed",IF(Calc!F71=0,"Off",TEXT(MOD(Calc!T71,1),"h:mm AM/PM")&amp;IF(Calc!T71&gt;=1," (+1)","")&amp;" - "&amp;TEXT(MOD(Calc!AA71,1),"h:mm AM/PM")&amp;IF(Calc!AA71&gt;1," (+1)",""))))</f>
        <v/>
      </c>
      <c r="D71" s="13" t="str">
        <f aca="false">IF(Calc!$B71=0,"",IF(Calc!G$3=0,"Closed",IF(Calc!G71=0,"Off",TEXT(MOD(Calc!U71,1),"h:mm AM/PM")&amp;IF(Calc!U71&gt;=1," (+1)","")&amp;" - "&amp;TEXT(MOD(Calc!AB71,1),"h:mm AM/PM")&amp;IF(Calc!AB71&gt;1," (+1)",""))))</f>
        <v/>
      </c>
      <c r="E71" s="13" t="str">
        <f aca="false">IF(Calc!$B71=0,"",IF(Calc!H$3=0,"Closed",IF(Calc!H71=0,"Off",TEXT(MOD(Calc!V71,1),"h:mm AM/PM")&amp;IF(Calc!V71&gt;=1," (+1)","")&amp;" - "&amp;TEXT(MOD(Calc!AC71,1),"h:mm AM/PM")&amp;IF(Calc!AC71&gt;1," (+1)",""))))</f>
        <v/>
      </c>
      <c r="F71" s="13" t="str">
        <f aca="false">IF(Calc!$B71=0,"",IF(Calc!I$3=0,"Closed",IF(Calc!I71=0,"Off",TEXT(MOD(Calc!W71,1),"h:mm AM/PM")&amp;IF(Calc!W71&gt;=1," (+1)","")&amp;" - "&amp;TEXT(MOD(Calc!AD71,1),"h:mm AM/PM")&amp;IF(Calc!AD71&gt;1," (+1)",""))))</f>
        <v/>
      </c>
      <c r="G71" s="13" t="str">
        <f aca="false">IF(Calc!$B71=0,"",IF(Calc!J$3=0,"Closed",IF(Calc!J71=0,"Off",TEXT(MOD(Calc!X71,1),"h:mm AM/PM")&amp;IF(Calc!X71&gt;=1," (+1)","")&amp;" - "&amp;TEXT(MOD(Calc!AE71,1),"h:mm AM/PM")&amp;IF(Calc!AE71&gt;1," (+1)",""))))</f>
        <v/>
      </c>
      <c r="H71" s="13" t="str">
        <f aca="false">IF(Calc!$B71=0,"",IF(Calc!K$3=0,"Closed",IF(Calc!K71=0,"Off",TEXT(MOD(Calc!Y71,1),"h:mm AM/PM")&amp;IF(Calc!Y71&gt;=1," (+1)","")&amp;" - "&amp;TEXT(MOD(Calc!AF71,1),"h:mm AM/PM")&amp;IF(Calc!AF71&gt;1," (+1)",""))))</f>
        <v/>
      </c>
      <c r="I71" s="13" t="str">
        <f aca="false">IF(Calc!$B71=0,"",IF(Calc!L$3=0,"Closed",IF(Calc!L71=0,"Off",TEXT(MOD(Calc!Z71,1),"h:mm AM/PM")&amp;IF(Calc!Z71&gt;=1," (+1)","")&amp;" - "&amp;TEXT(MOD(Calc!AG71,1),"h:mm AM/PM")&amp;IF(Calc!AG71&gt;1," (+1)",""))))</f>
        <v/>
      </c>
      <c r="J71" s="12" t="str">
        <f aca="false">IF(Calc!B71=0,"",(SUM(Calc!AA71:AG71)-SUM(Calc!T71:Z71))*24)</f>
        <v/>
      </c>
      <c r="K71" s="6" t="str">
        <f aca="false">IF(Calc!B71=0,"",SUM(Calc!F71:L71))</f>
        <v/>
      </c>
      <c r="L71" s="6" t="str">
        <f aca="false">IF(Calc!B71=0,"",IF(Inputs!$B$6=0,"None",CHOOSE(Calc!D71+1,"Mon","Tue","Wed","Thu","Fri","Sat","Sun")&amp;" to "&amp;CHOOSE(MOD(Calc!D71+Inputs!$B$6-1,7)+1,"Mon","Tue","Wed","Thu","Fri","Sat","Sun")))</f>
        <v/>
      </c>
    </row>
    <row r="72" customFormat="false" ht="15" hidden="false" customHeight="false" outlineLevel="0" collapsed="false">
      <c r="A72" s="6" t="str">
        <f aca="false">IF(Calc!B72=1,67,"")</f>
        <v/>
      </c>
      <c r="B72" s="6" t="str">
        <f aca="false">IF(Calc!B72=0,"",IF(Inputs!B89&lt;&gt;"",Inputs!B89,"Agent "&amp;67))</f>
        <v/>
      </c>
      <c r="C72" s="13" t="str">
        <f aca="false">IF(Calc!$B72=0,"",IF(Calc!F$3=0,"Closed",IF(Calc!F72=0,"Off",TEXT(MOD(Calc!T72,1),"h:mm AM/PM")&amp;IF(Calc!T72&gt;=1," (+1)","")&amp;" - "&amp;TEXT(MOD(Calc!AA72,1),"h:mm AM/PM")&amp;IF(Calc!AA72&gt;1," (+1)",""))))</f>
        <v/>
      </c>
      <c r="D72" s="13" t="str">
        <f aca="false">IF(Calc!$B72=0,"",IF(Calc!G$3=0,"Closed",IF(Calc!G72=0,"Off",TEXT(MOD(Calc!U72,1),"h:mm AM/PM")&amp;IF(Calc!U72&gt;=1," (+1)","")&amp;" - "&amp;TEXT(MOD(Calc!AB72,1),"h:mm AM/PM")&amp;IF(Calc!AB72&gt;1," (+1)",""))))</f>
        <v/>
      </c>
      <c r="E72" s="13" t="str">
        <f aca="false">IF(Calc!$B72=0,"",IF(Calc!H$3=0,"Closed",IF(Calc!H72=0,"Off",TEXT(MOD(Calc!V72,1),"h:mm AM/PM")&amp;IF(Calc!V72&gt;=1," (+1)","")&amp;" - "&amp;TEXT(MOD(Calc!AC72,1),"h:mm AM/PM")&amp;IF(Calc!AC72&gt;1," (+1)",""))))</f>
        <v/>
      </c>
      <c r="F72" s="13" t="str">
        <f aca="false">IF(Calc!$B72=0,"",IF(Calc!I$3=0,"Closed",IF(Calc!I72=0,"Off",TEXT(MOD(Calc!W72,1),"h:mm AM/PM")&amp;IF(Calc!W72&gt;=1," (+1)","")&amp;" - "&amp;TEXT(MOD(Calc!AD72,1),"h:mm AM/PM")&amp;IF(Calc!AD72&gt;1," (+1)",""))))</f>
        <v/>
      </c>
      <c r="G72" s="13" t="str">
        <f aca="false">IF(Calc!$B72=0,"",IF(Calc!J$3=0,"Closed",IF(Calc!J72=0,"Off",TEXT(MOD(Calc!X72,1),"h:mm AM/PM")&amp;IF(Calc!X72&gt;=1," (+1)","")&amp;" - "&amp;TEXT(MOD(Calc!AE72,1),"h:mm AM/PM")&amp;IF(Calc!AE72&gt;1," (+1)",""))))</f>
        <v/>
      </c>
      <c r="H72" s="13" t="str">
        <f aca="false">IF(Calc!$B72=0,"",IF(Calc!K$3=0,"Closed",IF(Calc!K72=0,"Off",TEXT(MOD(Calc!Y72,1),"h:mm AM/PM")&amp;IF(Calc!Y72&gt;=1," (+1)","")&amp;" - "&amp;TEXT(MOD(Calc!AF72,1),"h:mm AM/PM")&amp;IF(Calc!AF72&gt;1," (+1)",""))))</f>
        <v/>
      </c>
      <c r="I72" s="13" t="str">
        <f aca="false">IF(Calc!$B72=0,"",IF(Calc!L$3=0,"Closed",IF(Calc!L72=0,"Off",TEXT(MOD(Calc!Z72,1),"h:mm AM/PM")&amp;IF(Calc!Z72&gt;=1," (+1)","")&amp;" - "&amp;TEXT(MOD(Calc!AG72,1),"h:mm AM/PM")&amp;IF(Calc!AG72&gt;1," (+1)",""))))</f>
        <v/>
      </c>
      <c r="J72" s="12" t="str">
        <f aca="false">IF(Calc!B72=0,"",(SUM(Calc!AA72:AG72)-SUM(Calc!T72:Z72))*24)</f>
        <v/>
      </c>
      <c r="K72" s="6" t="str">
        <f aca="false">IF(Calc!B72=0,"",SUM(Calc!F72:L72))</f>
        <v/>
      </c>
      <c r="L72" s="6" t="str">
        <f aca="false">IF(Calc!B72=0,"",IF(Inputs!$B$6=0,"None",CHOOSE(Calc!D72+1,"Mon","Tue","Wed","Thu","Fri","Sat","Sun")&amp;" to "&amp;CHOOSE(MOD(Calc!D72+Inputs!$B$6-1,7)+1,"Mon","Tue","Wed","Thu","Fri","Sat","Sun")))</f>
        <v/>
      </c>
    </row>
    <row r="73" customFormat="false" ht="15" hidden="false" customHeight="false" outlineLevel="0" collapsed="false">
      <c r="A73" s="6" t="str">
        <f aca="false">IF(Calc!B73=1,68,"")</f>
        <v/>
      </c>
      <c r="B73" s="6" t="str">
        <f aca="false">IF(Calc!B73=0,"",IF(Inputs!B90&lt;&gt;"",Inputs!B90,"Agent "&amp;68))</f>
        <v/>
      </c>
      <c r="C73" s="13" t="str">
        <f aca="false">IF(Calc!$B73=0,"",IF(Calc!F$3=0,"Closed",IF(Calc!F73=0,"Off",TEXT(MOD(Calc!T73,1),"h:mm AM/PM")&amp;IF(Calc!T73&gt;=1," (+1)","")&amp;" - "&amp;TEXT(MOD(Calc!AA73,1),"h:mm AM/PM")&amp;IF(Calc!AA73&gt;1," (+1)",""))))</f>
        <v/>
      </c>
      <c r="D73" s="13" t="str">
        <f aca="false">IF(Calc!$B73=0,"",IF(Calc!G$3=0,"Closed",IF(Calc!G73=0,"Off",TEXT(MOD(Calc!U73,1),"h:mm AM/PM")&amp;IF(Calc!U73&gt;=1," (+1)","")&amp;" - "&amp;TEXT(MOD(Calc!AB73,1),"h:mm AM/PM")&amp;IF(Calc!AB73&gt;1," (+1)",""))))</f>
        <v/>
      </c>
      <c r="E73" s="13" t="str">
        <f aca="false">IF(Calc!$B73=0,"",IF(Calc!H$3=0,"Closed",IF(Calc!H73=0,"Off",TEXT(MOD(Calc!V73,1),"h:mm AM/PM")&amp;IF(Calc!V73&gt;=1," (+1)","")&amp;" - "&amp;TEXT(MOD(Calc!AC73,1),"h:mm AM/PM")&amp;IF(Calc!AC73&gt;1," (+1)",""))))</f>
        <v/>
      </c>
      <c r="F73" s="13" t="str">
        <f aca="false">IF(Calc!$B73=0,"",IF(Calc!I$3=0,"Closed",IF(Calc!I73=0,"Off",TEXT(MOD(Calc!W73,1),"h:mm AM/PM")&amp;IF(Calc!W73&gt;=1," (+1)","")&amp;" - "&amp;TEXT(MOD(Calc!AD73,1),"h:mm AM/PM")&amp;IF(Calc!AD73&gt;1," (+1)",""))))</f>
        <v/>
      </c>
      <c r="G73" s="13" t="str">
        <f aca="false">IF(Calc!$B73=0,"",IF(Calc!J$3=0,"Closed",IF(Calc!J73=0,"Off",TEXT(MOD(Calc!X73,1),"h:mm AM/PM")&amp;IF(Calc!X73&gt;=1," (+1)","")&amp;" - "&amp;TEXT(MOD(Calc!AE73,1),"h:mm AM/PM")&amp;IF(Calc!AE73&gt;1," (+1)",""))))</f>
        <v/>
      </c>
      <c r="H73" s="13" t="str">
        <f aca="false">IF(Calc!$B73=0,"",IF(Calc!K$3=0,"Closed",IF(Calc!K73=0,"Off",TEXT(MOD(Calc!Y73,1),"h:mm AM/PM")&amp;IF(Calc!Y73&gt;=1," (+1)","")&amp;" - "&amp;TEXT(MOD(Calc!AF73,1),"h:mm AM/PM")&amp;IF(Calc!AF73&gt;1," (+1)",""))))</f>
        <v/>
      </c>
      <c r="I73" s="13" t="str">
        <f aca="false">IF(Calc!$B73=0,"",IF(Calc!L$3=0,"Closed",IF(Calc!L73=0,"Off",TEXT(MOD(Calc!Z73,1),"h:mm AM/PM")&amp;IF(Calc!Z73&gt;=1," (+1)","")&amp;" - "&amp;TEXT(MOD(Calc!AG73,1),"h:mm AM/PM")&amp;IF(Calc!AG73&gt;1," (+1)",""))))</f>
        <v/>
      </c>
      <c r="J73" s="12" t="str">
        <f aca="false">IF(Calc!B73=0,"",(SUM(Calc!AA73:AG73)-SUM(Calc!T73:Z73))*24)</f>
        <v/>
      </c>
      <c r="K73" s="6" t="str">
        <f aca="false">IF(Calc!B73=0,"",SUM(Calc!F73:L73))</f>
        <v/>
      </c>
      <c r="L73" s="6" t="str">
        <f aca="false">IF(Calc!B73=0,"",IF(Inputs!$B$6=0,"None",CHOOSE(Calc!D73+1,"Mon","Tue","Wed","Thu","Fri","Sat","Sun")&amp;" to "&amp;CHOOSE(MOD(Calc!D73+Inputs!$B$6-1,7)+1,"Mon","Tue","Wed","Thu","Fri","Sat","Sun")))</f>
        <v/>
      </c>
    </row>
    <row r="74" customFormat="false" ht="15" hidden="false" customHeight="false" outlineLevel="0" collapsed="false">
      <c r="A74" s="6" t="str">
        <f aca="false">IF(Calc!B74=1,69,"")</f>
        <v/>
      </c>
      <c r="B74" s="6" t="str">
        <f aca="false">IF(Calc!B74=0,"",IF(Inputs!B91&lt;&gt;"",Inputs!B91,"Agent "&amp;69))</f>
        <v/>
      </c>
      <c r="C74" s="13" t="str">
        <f aca="false">IF(Calc!$B74=0,"",IF(Calc!F$3=0,"Closed",IF(Calc!F74=0,"Off",TEXT(MOD(Calc!T74,1),"h:mm AM/PM")&amp;IF(Calc!T74&gt;=1," (+1)","")&amp;" - "&amp;TEXT(MOD(Calc!AA74,1),"h:mm AM/PM")&amp;IF(Calc!AA74&gt;1," (+1)",""))))</f>
        <v/>
      </c>
      <c r="D74" s="13" t="str">
        <f aca="false">IF(Calc!$B74=0,"",IF(Calc!G$3=0,"Closed",IF(Calc!G74=0,"Off",TEXT(MOD(Calc!U74,1),"h:mm AM/PM")&amp;IF(Calc!U74&gt;=1," (+1)","")&amp;" - "&amp;TEXT(MOD(Calc!AB74,1),"h:mm AM/PM")&amp;IF(Calc!AB74&gt;1," (+1)",""))))</f>
        <v/>
      </c>
      <c r="E74" s="13" t="str">
        <f aca="false">IF(Calc!$B74=0,"",IF(Calc!H$3=0,"Closed",IF(Calc!H74=0,"Off",TEXT(MOD(Calc!V74,1),"h:mm AM/PM")&amp;IF(Calc!V74&gt;=1," (+1)","")&amp;" - "&amp;TEXT(MOD(Calc!AC74,1),"h:mm AM/PM")&amp;IF(Calc!AC74&gt;1," (+1)",""))))</f>
        <v/>
      </c>
      <c r="F74" s="13" t="str">
        <f aca="false">IF(Calc!$B74=0,"",IF(Calc!I$3=0,"Closed",IF(Calc!I74=0,"Off",TEXT(MOD(Calc!W74,1),"h:mm AM/PM")&amp;IF(Calc!W74&gt;=1," (+1)","")&amp;" - "&amp;TEXT(MOD(Calc!AD74,1),"h:mm AM/PM")&amp;IF(Calc!AD74&gt;1," (+1)",""))))</f>
        <v/>
      </c>
      <c r="G74" s="13" t="str">
        <f aca="false">IF(Calc!$B74=0,"",IF(Calc!J$3=0,"Closed",IF(Calc!J74=0,"Off",TEXT(MOD(Calc!X74,1),"h:mm AM/PM")&amp;IF(Calc!X74&gt;=1," (+1)","")&amp;" - "&amp;TEXT(MOD(Calc!AE74,1),"h:mm AM/PM")&amp;IF(Calc!AE74&gt;1," (+1)",""))))</f>
        <v/>
      </c>
      <c r="H74" s="13" t="str">
        <f aca="false">IF(Calc!$B74=0,"",IF(Calc!K$3=0,"Closed",IF(Calc!K74=0,"Off",TEXT(MOD(Calc!Y74,1),"h:mm AM/PM")&amp;IF(Calc!Y74&gt;=1," (+1)","")&amp;" - "&amp;TEXT(MOD(Calc!AF74,1),"h:mm AM/PM")&amp;IF(Calc!AF74&gt;1," (+1)",""))))</f>
        <v/>
      </c>
      <c r="I74" s="13" t="str">
        <f aca="false">IF(Calc!$B74=0,"",IF(Calc!L$3=0,"Closed",IF(Calc!L74=0,"Off",TEXT(MOD(Calc!Z74,1),"h:mm AM/PM")&amp;IF(Calc!Z74&gt;=1," (+1)","")&amp;" - "&amp;TEXT(MOD(Calc!AG74,1),"h:mm AM/PM")&amp;IF(Calc!AG74&gt;1," (+1)",""))))</f>
        <v/>
      </c>
      <c r="J74" s="12" t="str">
        <f aca="false">IF(Calc!B74=0,"",(SUM(Calc!AA74:AG74)-SUM(Calc!T74:Z74))*24)</f>
        <v/>
      </c>
      <c r="K74" s="6" t="str">
        <f aca="false">IF(Calc!B74=0,"",SUM(Calc!F74:L74))</f>
        <v/>
      </c>
      <c r="L74" s="6" t="str">
        <f aca="false">IF(Calc!B74=0,"",IF(Inputs!$B$6=0,"None",CHOOSE(Calc!D74+1,"Mon","Tue","Wed","Thu","Fri","Sat","Sun")&amp;" to "&amp;CHOOSE(MOD(Calc!D74+Inputs!$B$6-1,7)+1,"Mon","Tue","Wed","Thu","Fri","Sat","Sun")))</f>
        <v/>
      </c>
    </row>
    <row r="75" customFormat="false" ht="15" hidden="false" customHeight="false" outlineLevel="0" collapsed="false">
      <c r="A75" s="6" t="str">
        <f aca="false">IF(Calc!B75=1,70,"")</f>
        <v/>
      </c>
      <c r="B75" s="6" t="str">
        <f aca="false">IF(Calc!B75=0,"",IF(Inputs!B92&lt;&gt;"",Inputs!B92,"Agent "&amp;70))</f>
        <v/>
      </c>
      <c r="C75" s="13" t="str">
        <f aca="false">IF(Calc!$B75=0,"",IF(Calc!F$3=0,"Closed",IF(Calc!F75=0,"Off",TEXT(MOD(Calc!T75,1),"h:mm AM/PM")&amp;IF(Calc!T75&gt;=1," (+1)","")&amp;" - "&amp;TEXT(MOD(Calc!AA75,1),"h:mm AM/PM")&amp;IF(Calc!AA75&gt;1," (+1)",""))))</f>
        <v/>
      </c>
      <c r="D75" s="13" t="str">
        <f aca="false">IF(Calc!$B75=0,"",IF(Calc!G$3=0,"Closed",IF(Calc!G75=0,"Off",TEXT(MOD(Calc!U75,1),"h:mm AM/PM")&amp;IF(Calc!U75&gt;=1," (+1)","")&amp;" - "&amp;TEXT(MOD(Calc!AB75,1),"h:mm AM/PM")&amp;IF(Calc!AB75&gt;1," (+1)",""))))</f>
        <v/>
      </c>
      <c r="E75" s="13" t="str">
        <f aca="false">IF(Calc!$B75=0,"",IF(Calc!H$3=0,"Closed",IF(Calc!H75=0,"Off",TEXT(MOD(Calc!V75,1),"h:mm AM/PM")&amp;IF(Calc!V75&gt;=1," (+1)","")&amp;" - "&amp;TEXT(MOD(Calc!AC75,1),"h:mm AM/PM")&amp;IF(Calc!AC75&gt;1," (+1)",""))))</f>
        <v/>
      </c>
      <c r="F75" s="13" t="str">
        <f aca="false">IF(Calc!$B75=0,"",IF(Calc!I$3=0,"Closed",IF(Calc!I75=0,"Off",TEXT(MOD(Calc!W75,1),"h:mm AM/PM")&amp;IF(Calc!W75&gt;=1," (+1)","")&amp;" - "&amp;TEXT(MOD(Calc!AD75,1),"h:mm AM/PM")&amp;IF(Calc!AD75&gt;1," (+1)",""))))</f>
        <v/>
      </c>
      <c r="G75" s="13" t="str">
        <f aca="false">IF(Calc!$B75=0,"",IF(Calc!J$3=0,"Closed",IF(Calc!J75=0,"Off",TEXT(MOD(Calc!X75,1),"h:mm AM/PM")&amp;IF(Calc!X75&gt;=1," (+1)","")&amp;" - "&amp;TEXT(MOD(Calc!AE75,1),"h:mm AM/PM")&amp;IF(Calc!AE75&gt;1," (+1)",""))))</f>
        <v/>
      </c>
      <c r="H75" s="13" t="str">
        <f aca="false">IF(Calc!$B75=0,"",IF(Calc!K$3=0,"Closed",IF(Calc!K75=0,"Off",TEXT(MOD(Calc!Y75,1),"h:mm AM/PM")&amp;IF(Calc!Y75&gt;=1," (+1)","")&amp;" - "&amp;TEXT(MOD(Calc!AF75,1),"h:mm AM/PM")&amp;IF(Calc!AF75&gt;1," (+1)",""))))</f>
        <v/>
      </c>
      <c r="I75" s="13" t="str">
        <f aca="false">IF(Calc!$B75=0,"",IF(Calc!L$3=0,"Closed",IF(Calc!L75=0,"Off",TEXT(MOD(Calc!Z75,1),"h:mm AM/PM")&amp;IF(Calc!Z75&gt;=1," (+1)","")&amp;" - "&amp;TEXT(MOD(Calc!AG75,1),"h:mm AM/PM")&amp;IF(Calc!AG75&gt;1," (+1)",""))))</f>
        <v/>
      </c>
      <c r="J75" s="12" t="str">
        <f aca="false">IF(Calc!B75=0,"",(SUM(Calc!AA75:AG75)-SUM(Calc!T75:Z75))*24)</f>
        <v/>
      </c>
      <c r="K75" s="6" t="str">
        <f aca="false">IF(Calc!B75=0,"",SUM(Calc!F75:L75))</f>
        <v/>
      </c>
      <c r="L75" s="6" t="str">
        <f aca="false">IF(Calc!B75=0,"",IF(Inputs!$B$6=0,"None",CHOOSE(Calc!D75+1,"Mon","Tue","Wed","Thu","Fri","Sat","Sun")&amp;" to "&amp;CHOOSE(MOD(Calc!D75+Inputs!$B$6-1,7)+1,"Mon","Tue","Wed","Thu","Fri","Sat","Sun")))</f>
        <v/>
      </c>
    </row>
    <row r="76" customFormat="false" ht="15" hidden="false" customHeight="false" outlineLevel="0" collapsed="false">
      <c r="A76" s="6" t="str">
        <f aca="false">IF(Calc!B76=1,71,"")</f>
        <v/>
      </c>
      <c r="B76" s="6" t="str">
        <f aca="false">IF(Calc!B76=0,"",IF(Inputs!B93&lt;&gt;"",Inputs!B93,"Agent "&amp;71))</f>
        <v/>
      </c>
      <c r="C76" s="13" t="str">
        <f aca="false">IF(Calc!$B76=0,"",IF(Calc!F$3=0,"Closed",IF(Calc!F76=0,"Off",TEXT(MOD(Calc!T76,1),"h:mm AM/PM")&amp;IF(Calc!T76&gt;=1," (+1)","")&amp;" - "&amp;TEXT(MOD(Calc!AA76,1),"h:mm AM/PM")&amp;IF(Calc!AA76&gt;1," (+1)",""))))</f>
        <v/>
      </c>
      <c r="D76" s="13" t="str">
        <f aca="false">IF(Calc!$B76=0,"",IF(Calc!G$3=0,"Closed",IF(Calc!G76=0,"Off",TEXT(MOD(Calc!U76,1),"h:mm AM/PM")&amp;IF(Calc!U76&gt;=1," (+1)","")&amp;" - "&amp;TEXT(MOD(Calc!AB76,1),"h:mm AM/PM")&amp;IF(Calc!AB76&gt;1," (+1)",""))))</f>
        <v/>
      </c>
      <c r="E76" s="13" t="str">
        <f aca="false">IF(Calc!$B76=0,"",IF(Calc!H$3=0,"Closed",IF(Calc!H76=0,"Off",TEXT(MOD(Calc!V76,1),"h:mm AM/PM")&amp;IF(Calc!V76&gt;=1," (+1)","")&amp;" - "&amp;TEXT(MOD(Calc!AC76,1),"h:mm AM/PM")&amp;IF(Calc!AC76&gt;1," (+1)",""))))</f>
        <v/>
      </c>
      <c r="F76" s="13" t="str">
        <f aca="false">IF(Calc!$B76=0,"",IF(Calc!I$3=0,"Closed",IF(Calc!I76=0,"Off",TEXT(MOD(Calc!W76,1),"h:mm AM/PM")&amp;IF(Calc!W76&gt;=1," (+1)","")&amp;" - "&amp;TEXT(MOD(Calc!AD76,1),"h:mm AM/PM")&amp;IF(Calc!AD76&gt;1," (+1)",""))))</f>
        <v/>
      </c>
      <c r="G76" s="13" t="str">
        <f aca="false">IF(Calc!$B76=0,"",IF(Calc!J$3=0,"Closed",IF(Calc!J76=0,"Off",TEXT(MOD(Calc!X76,1),"h:mm AM/PM")&amp;IF(Calc!X76&gt;=1," (+1)","")&amp;" - "&amp;TEXT(MOD(Calc!AE76,1),"h:mm AM/PM")&amp;IF(Calc!AE76&gt;1," (+1)",""))))</f>
        <v/>
      </c>
      <c r="H76" s="13" t="str">
        <f aca="false">IF(Calc!$B76=0,"",IF(Calc!K$3=0,"Closed",IF(Calc!K76=0,"Off",TEXT(MOD(Calc!Y76,1),"h:mm AM/PM")&amp;IF(Calc!Y76&gt;=1," (+1)","")&amp;" - "&amp;TEXT(MOD(Calc!AF76,1),"h:mm AM/PM")&amp;IF(Calc!AF76&gt;1," (+1)",""))))</f>
        <v/>
      </c>
      <c r="I76" s="13" t="str">
        <f aca="false">IF(Calc!$B76=0,"",IF(Calc!L$3=0,"Closed",IF(Calc!L76=0,"Off",TEXT(MOD(Calc!Z76,1),"h:mm AM/PM")&amp;IF(Calc!Z76&gt;=1," (+1)","")&amp;" - "&amp;TEXT(MOD(Calc!AG76,1),"h:mm AM/PM")&amp;IF(Calc!AG76&gt;1," (+1)",""))))</f>
        <v/>
      </c>
      <c r="J76" s="12" t="str">
        <f aca="false">IF(Calc!B76=0,"",(SUM(Calc!AA76:AG76)-SUM(Calc!T76:Z76))*24)</f>
        <v/>
      </c>
      <c r="K76" s="6" t="str">
        <f aca="false">IF(Calc!B76=0,"",SUM(Calc!F76:L76))</f>
        <v/>
      </c>
      <c r="L76" s="6" t="str">
        <f aca="false">IF(Calc!B76=0,"",IF(Inputs!$B$6=0,"None",CHOOSE(Calc!D76+1,"Mon","Tue","Wed","Thu","Fri","Sat","Sun")&amp;" to "&amp;CHOOSE(MOD(Calc!D76+Inputs!$B$6-1,7)+1,"Mon","Tue","Wed","Thu","Fri","Sat","Sun")))</f>
        <v/>
      </c>
    </row>
    <row r="77" customFormat="false" ht="15" hidden="false" customHeight="false" outlineLevel="0" collapsed="false">
      <c r="A77" s="6" t="str">
        <f aca="false">IF(Calc!B77=1,72,"")</f>
        <v/>
      </c>
      <c r="B77" s="6" t="str">
        <f aca="false">IF(Calc!B77=0,"",IF(Inputs!B94&lt;&gt;"",Inputs!B94,"Agent "&amp;72))</f>
        <v/>
      </c>
      <c r="C77" s="13" t="str">
        <f aca="false">IF(Calc!$B77=0,"",IF(Calc!F$3=0,"Closed",IF(Calc!F77=0,"Off",TEXT(MOD(Calc!T77,1),"h:mm AM/PM")&amp;IF(Calc!T77&gt;=1," (+1)","")&amp;" - "&amp;TEXT(MOD(Calc!AA77,1),"h:mm AM/PM")&amp;IF(Calc!AA77&gt;1," (+1)",""))))</f>
        <v/>
      </c>
      <c r="D77" s="13" t="str">
        <f aca="false">IF(Calc!$B77=0,"",IF(Calc!G$3=0,"Closed",IF(Calc!G77=0,"Off",TEXT(MOD(Calc!U77,1),"h:mm AM/PM")&amp;IF(Calc!U77&gt;=1," (+1)","")&amp;" - "&amp;TEXT(MOD(Calc!AB77,1),"h:mm AM/PM")&amp;IF(Calc!AB77&gt;1," (+1)",""))))</f>
        <v/>
      </c>
      <c r="E77" s="13" t="str">
        <f aca="false">IF(Calc!$B77=0,"",IF(Calc!H$3=0,"Closed",IF(Calc!H77=0,"Off",TEXT(MOD(Calc!V77,1),"h:mm AM/PM")&amp;IF(Calc!V77&gt;=1," (+1)","")&amp;" - "&amp;TEXT(MOD(Calc!AC77,1),"h:mm AM/PM")&amp;IF(Calc!AC77&gt;1," (+1)",""))))</f>
        <v/>
      </c>
      <c r="F77" s="13" t="str">
        <f aca="false">IF(Calc!$B77=0,"",IF(Calc!I$3=0,"Closed",IF(Calc!I77=0,"Off",TEXT(MOD(Calc!W77,1),"h:mm AM/PM")&amp;IF(Calc!W77&gt;=1," (+1)","")&amp;" - "&amp;TEXT(MOD(Calc!AD77,1),"h:mm AM/PM")&amp;IF(Calc!AD77&gt;1," (+1)",""))))</f>
        <v/>
      </c>
      <c r="G77" s="13" t="str">
        <f aca="false">IF(Calc!$B77=0,"",IF(Calc!J$3=0,"Closed",IF(Calc!J77=0,"Off",TEXT(MOD(Calc!X77,1),"h:mm AM/PM")&amp;IF(Calc!X77&gt;=1," (+1)","")&amp;" - "&amp;TEXT(MOD(Calc!AE77,1),"h:mm AM/PM")&amp;IF(Calc!AE77&gt;1," (+1)",""))))</f>
        <v/>
      </c>
      <c r="H77" s="13" t="str">
        <f aca="false">IF(Calc!$B77=0,"",IF(Calc!K$3=0,"Closed",IF(Calc!K77=0,"Off",TEXT(MOD(Calc!Y77,1),"h:mm AM/PM")&amp;IF(Calc!Y77&gt;=1," (+1)","")&amp;" - "&amp;TEXT(MOD(Calc!AF77,1),"h:mm AM/PM")&amp;IF(Calc!AF77&gt;1," (+1)",""))))</f>
        <v/>
      </c>
      <c r="I77" s="13" t="str">
        <f aca="false">IF(Calc!$B77=0,"",IF(Calc!L$3=0,"Closed",IF(Calc!L77=0,"Off",TEXT(MOD(Calc!Z77,1),"h:mm AM/PM")&amp;IF(Calc!Z77&gt;=1," (+1)","")&amp;" - "&amp;TEXT(MOD(Calc!AG77,1),"h:mm AM/PM")&amp;IF(Calc!AG77&gt;1," (+1)",""))))</f>
        <v/>
      </c>
      <c r="J77" s="12" t="str">
        <f aca="false">IF(Calc!B77=0,"",(SUM(Calc!AA77:AG77)-SUM(Calc!T77:Z77))*24)</f>
        <v/>
      </c>
      <c r="K77" s="6" t="str">
        <f aca="false">IF(Calc!B77=0,"",SUM(Calc!F77:L77))</f>
        <v/>
      </c>
      <c r="L77" s="6" t="str">
        <f aca="false">IF(Calc!B77=0,"",IF(Inputs!$B$6=0,"None",CHOOSE(Calc!D77+1,"Mon","Tue","Wed","Thu","Fri","Sat","Sun")&amp;" to "&amp;CHOOSE(MOD(Calc!D77+Inputs!$B$6-1,7)+1,"Mon","Tue","Wed","Thu","Fri","Sat","Sun")))</f>
        <v/>
      </c>
    </row>
    <row r="78" customFormat="false" ht="15" hidden="false" customHeight="false" outlineLevel="0" collapsed="false">
      <c r="A78" s="6" t="str">
        <f aca="false">IF(Calc!B78=1,73,"")</f>
        <v/>
      </c>
      <c r="B78" s="6" t="str">
        <f aca="false">IF(Calc!B78=0,"",IF(Inputs!B95&lt;&gt;"",Inputs!B95,"Agent "&amp;73))</f>
        <v/>
      </c>
      <c r="C78" s="13" t="str">
        <f aca="false">IF(Calc!$B78=0,"",IF(Calc!F$3=0,"Closed",IF(Calc!F78=0,"Off",TEXT(MOD(Calc!T78,1),"h:mm AM/PM")&amp;IF(Calc!T78&gt;=1," (+1)","")&amp;" - "&amp;TEXT(MOD(Calc!AA78,1),"h:mm AM/PM")&amp;IF(Calc!AA78&gt;1," (+1)",""))))</f>
        <v/>
      </c>
      <c r="D78" s="13" t="str">
        <f aca="false">IF(Calc!$B78=0,"",IF(Calc!G$3=0,"Closed",IF(Calc!G78=0,"Off",TEXT(MOD(Calc!U78,1),"h:mm AM/PM")&amp;IF(Calc!U78&gt;=1," (+1)","")&amp;" - "&amp;TEXT(MOD(Calc!AB78,1),"h:mm AM/PM")&amp;IF(Calc!AB78&gt;1," (+1)",""))))</f>
        <v/>
      </c>
      <c r="E78" s="13" t="str">
        <f aca="false">IF(Calc!$B78=0,"",IF(Calc!H$3=0,"Closed",IF(Calc!H78=0,"Off",TEXT(MOD(Calc!V78,1),"h:mm AM/PM")&amp;IF(Calc!V78&gt;=1," (+1)","")&amp;" - "&amp;TEXT(MOD(Calc!AC78,1),"h:mm AM/PM")&amp;IF(Calc!AC78&gt;1," (+1)",""))))</f>
        <v/>
      </c>
      <c r="F78" s="13" t="str">
        <f aca="false">IF(Calc!$B78=0,"",IF(Calc!I$3=0,"Closed",IF(Calc!I78=0,"Off",TEXT(MOD(Calc!W78,1),"h:mm AM/PM")&amp;IF(Calc!W78&gt;=1," (+1)","")&amp;" - "&amp;TEXT(MOD(Calc!AD78,1),"h:mm AM/PM")&amp;IF(Calc!AD78&gt;1," (+1)",""))))</f>
        <v/>
      </c>
      <c r="G78" s="13" t="str">
        <f aca="false">IF(Calc!$B78=0,"",IF(Calc!J$3=0,"Closed",IF(Calc!J78=0,"Off",TEXT(MOD(Calc!X78,1),"h:mm AM/PM")&amp;IF(Calc!X78&gt;=1," (+1)","")&amp;" - "&amp;TEXT(MOD(Calc!AE78,1),"h:mm AM/PM")&amp;IF(Calc!AE78&gt;1," (+1)",""))))</f>
        <v/>
      </c>
      <c r="H78" s="13" t="str">
        <f aca="false">IF(Calc!$B78=0,"",IF(Calc!K$3=0,"Closed",IF(Calc!K78=0,"Off",TEXT(MOD(Calc!Y78,1),"h:mm AM/PM")&amp;IF(Calc!Y78&gt;=1," (+1)","")&amp;" - "&amp;TEXT(MOD(Calc!AF78,1),"h:mm AM/PM")&amp;IF(Calc!AF78&gt;1," (+1)",""))))</f>
        <v/>
      </c>
      <c r="I78" s="13" t="str">
        <f aca="false">IF(Calc!$B78=0,"",IF(Calc!L$3=0,"Closed",IF(Calc!L78=0,"Off",TEXT(MOD(Calc!Z78,1),"h:mm AM/PM")&amp;IF(Calc!Z78&gt;=1," (+1)","")&amp;" - "&amp;TEXT(MOD(Calc!AG78,1),"h:mm AM/PM")&amp;IF(Calc!AG78&gt;1," (+1)",""))))</f>
        <v/>
      </c>
      <c r="J78" s="12" t="str">
        <f aca="false">IF(Calc!B78=0,"",(SUM(Calc!AA78:AG78)-SUM(Calc!T78:Z78))*24)</f>
        <v/>
      </c>
      <c r="K78" s="6" t="str">
        <f aca="false">IF(Calc!B78=0,"",SUM(Calc!F78:L78))</f>
        <v/>
      </c>
      <c r="L78" s="6" t="str">
        <f aca="false">IF(Calc!B78=0,"",IF(Inputs!$B$6=0,"None",CHOOSE(Calc!D78+1,"Mon","Tue","Wed","Thu","Fri","Sat","Sun")&amp;" to "&amp;CHOOSE(MOD(Calc!D78+Inputs!$B$6-1,7)+1,"Mon","Tue","Wed","Thu","Fri","Sat","Sun")))</f>
        <v/>
      </c>
    </row>
    <row r="79" customFormat="false" ht="15" hidden="false" customHeight="false" outlineLevel="0" collapsed="false">
      <c r="A79" s="6" t="str">
        <f aca="false">IF(Calc!B79=1,74,"")</f>
        <v/>
      </c>
      <c r="B79" s="6" t="str">
        <f aca="false">IF(Calc!B79=0,"",IF(Inputs!B96&lt;&gt;"",Inputs!B96,"Agent "&amp;74))</f>
        <v/>
      </c>
      <c r="C79" s="13" t="str">
        <f aca="false">IF(Calc!$B79=0,"",IF(Calc!F$3=0,"Closed",IF(Calc!F79=0,"Off",TEXT(MOD(Calc!T79,1),"h:mm AM/PM")&amp;IF(Calc!T79&gt;=1," (+1)","")&amp;" - "&amp;TEXT(MOD(Calc!AA79,1),"h:mm AM/PM")&amp;IF(Calc!AA79&gt;1," (+1)",""))))</f>
        <v/>
      </c>
      <c r="D79" s="13" t="str">
        <f aca="false">IF(Calc!$B79=0,"",IF(Calc!G$3=0,"Closed",IF(Calc!G79=0,"Off",TEXT(MOD(Calc!U79,1),"h:mm AM/PM")&amp;IF(Calc!U79&gt;=1," (+1)","")&amp;" - "&amp;TEXT(MOD(Calc!AB79,1),"h:mm AM/PM")&amp;IF(Calc!AB79&gt;1," (+1)",""))))</f>
        <v/>
      </c>
      <c r="E79" s="13" t="str">
        <f aca="false">IF(Calc!$B79=0,"",IF(Calc!H$3=0,"Closed",IF(Calc!H79=0,"Off",TEXT(MOD(Calc!V79,1),"h:mm AM/PM")&amp;IF(Calc!V79&gt;=1," (+1)","")&amp;" - "&amp;TEXT(MOD(Calc!AC79,1),"h:mm AM/PM")&amp;IF(Calc!AC79&gt;1," (+1)",""))))</f>
        <v/>
      </c>
      <c r="F79" s="13" t="str">
        <f aca="false">IF(Calc!$B79=0,"",IF(Calc!I$3=0,"Closed",IF(Calc!I79=0,"Off",TEXT(MOD(Calc!W79,1),"h:mm AM/PM")&amp;IF(Calc!W79&gt;=1," (+1)","")&amp;" - "&amp;TEXT(MOD(Calc!AD79,1),"h:mm AM/PM")&amp;IF(Calc!AD79&gt;1," (+1)",""))))</f>
        <v/>
      </c>
      <c r="G79" s="13" t="str">
        <f aca="false">IF(Calc!$B79=0,"",IF(Calc!J$3=0,"Closed",IF(Calc!J79=0,"Off",TEXT(MOD(Calc!X79,1),"h:mm AM/PM")&amp;IF(Calc!X79&gt;=1," (+1)","")&amp;" - "&amp;TEXT(MOD(Calc!AE79,1),"h:mm AM/PM")&amp;IF(Calc!AE79&gt;1," (+1)",""))))</f>
        <v/>
      </c>
      <c r="H79" s="13" t="str">
        <f aca="false">IF(Calc!$B79=0,"",IF(Calc!K$3=0,"Closed",IF(Calc!K79=0,"Off",TEXT(MOD(Calc!Y79,1),"h:mm AM/PM")&amp;IF(Calc!Y79&gt;=1," (+1)","")&amp;" - "&amp;TEXT(MOD(Calc!AF79,1),"h:mm AM/PM")&amp;IF(Calc!AF79&gt;1," (+1)",""))))</f>
        <v/>
      </c>
      <c r="I79" s="13" t="str">
        <f aca="false">IF(Calc!$B79=0,"",IF(Calc!L$3=0,"Closed",IF(Calc!L79=0,"Off",TEXT(MOD(Calc!Z79,1),"h:mm AM/PM")&amp;IF(Calc!Z79&gt;=1," (+1)","")&amp;" - "&amp;TEXT(MOD(Calc!AG79,1),"h:mm AM/PM")&amp;IF(Calc!AG79&gt;1," (+1)",""))))</f>
        <v/>
      </c>
      <c r="J79" s="12" t="str">
        <f aca="false">IF(Calc!B79=0,"",(SUM(Calc!AA79:AG79)-SUM(Calc!T79:Z79))*24)</f>
        <v/>
      </c>
      <c r="K79" s="6" t="str">
        <f aca="false">IF(Calc!B79=0,"",SUM(Calc!F79:L79))</f>
        <v/>
      </c>
      <c r="L79" s="6" t="str">
        <f aca="false">IF(Calc!B79=0,"",IF(Inputs!$B$6=0,"None",CHOOSE(Calc!D79+1,"Mon","Tue","Wed","Thu","Fri","Sat","Sun")&amp;" to "&amp;CHOOSE(MOD(Calc!D79+Inputs!$B$6-1,7)+1,"Mon","Tue","Wed","Thu","Fri","Sat","Sun")))</f>
        <v/>
      </c>
    </row>
    <row r="80" customFormat="false" ht="15" hidden="false" customHeight="false" outlineLevel="0" collapsed="false">
      <c r="A80" s="6" t="str">
        <f aca="false">IF(Calc!B80=1,75,"")</f>
        <v/>
      </c>
      <c r="B80" s="6" t="str">
        <f aca="false">IF(Calc!B80=0,"",IF(Inputs!B97&lt;&gt;"",Inputs!B97,"Agent "&amp;75))</f>
        <v/>
      </c>
      <c r="C80" s="13" t="str">
        <f aca="false">IF(Calc!$B80=0,"",IF(Calc!F$3=0,"Closed",IF(Calc!F80=0,"Off",TEXT(MOD(Calc!T80,1),"h:mm AM/PM")&amp;IF(Calc!T80&gt;=1," (+1)","")&amp;" - "&amp;TEXT(MOD(Calc!AA80,1),"h:mm AM/PM")&amp;IF(Calc!AA80&gt;1," (+1)",""))))</f>
        <v/>
      </c>
      <c r="D80" s="13" t="str">
        <f aca="false">IF(Calc!$B80=0,"",IF(Calc!G$3=0,"Closed",IF(Calc!G80=0,"Off",TEXT(MOD(Calc!U80,1),"h:mm AM/PM")&amp;IF(Calc!U80&gt;=1," (+1)","")&amp;" - "&amp;TEXT(MOD(Calc!AB80,1),"h:mm AM/PM")&amp;IF(Calc!AB80&gt;1," (+1)",""))))</f>
        <v/>
      </c>
      <c r="E80" s="13" t="str">
        <f aca="false">IF(Calc!$B80=0,"",IF(Calc!H$3=0,"Closed",IF(Calc!H80=0,"Off",TEXT(MOD(Calc!V80,1),"h:mm AM/PM")&amp;IF(Calc!V80&gt;=1," (+1)","")&amp;" - "&amp;TEXT(MOD(Calc!AC80,1),"h:mm AM/PM")&amp;IF(Calc!AC80&gt;1," (+1)",""))))</f>
        <v/>
      </c>
      <c r="F80" s="13" t="str">
        <f aca="false">IF(Calc!$B80=0,"",IF(Calc!I$3=0,"Closed",IF(Calc!I80=0,"Off",TEXT(MOD(Calc!W80,1),"h:mm AM/PM")&amp;IF(Calc!W80&gt;=1," (+1)","")&amp;" - "&amp;TEXT(MOD(Calc!AD80,1),"h:mm AM/PM")&amp;IF(Calc!AD80&gt;1," (+1)",""))))</f>
        <v/>
      </c>
      <c r="G80" s="13" t="str">
        <f aca="false">IF(Calc!$B80=0,"",IF(Calc!J$3=0,"Closed",IF(Calc!J80=0,"Off",TEXT(MOD(Calc!X80,1),"h:mm AM/PM")&amp;IF(Calc!X80&gt;=1," (+1)","")&amp;" - "&amp;TEXT(MOD(Calc!AE80,1),"h:mm AM/PM")&amp;IF(Calc!AE80&gt;1," (+1)",""))))</f>
        <v/>
      </c>
      <c r="H80" s="13" t="str">
        <f aca="false">IF(Calc!$B80=0,"",IF(Calc!K$3=0,"Closed",IF(Calc!K80=0,"Off",TEXT(MOD(Calc!Y80,1),"h:mm AM/PM")&amp;IF(Calc!Y80&gt;=1," (+1)","")&amp;" - "&amp;TEXT(MOD(Calc!AF80,1),"h:mm AM/PM")&amp;IF(Calc!AF80&gt;1," (+1)",""))))</f>
        <v/>
      </c>
      <c r="I80" s="13" t="str">
        <f aca="false">IF(Calc!$B80=0,"",IF(Calc!L$3=0,"Closed",IF(Calc!L80=0,"Off",TEXT(MOD(Calc!Z80,1),"h:mm AM/PM")&amp;IF(Calc!Z80&gt;=1," (+1)","")&amp;" - "&amp;TEXT(MOD(Calc!AG80,1),"h:mm AM/PM")&amp;IF(Calc!AG80&gt;1," (+1)",""))))</f>
        <v/>
      </c>
      <c r="J80" s="12" t="str">
        <f aca="false">IF(Calc!B80=0,"",(SUM(Calc!AA80:AG80)-SUM(Calc!T80:Z80))*24)</f>
        <v/>
      </c>
      <c r="K80" s="6" t="str">
        <f aca="false">IF(Calc!B80=0,"",SUM(Calc!F80:L80))</f>
        <v/>
      </c>
      <c r="L80" s="6" t="str">
        <f aca="false">IF(Calc!B80=0,"",IF(Inputs!$B$6=0,"None",CHOOSE(Calc!D80+1,"Mon","Tue","Wed","Thu","Fri","Sat","Sun")&amp;" to "&amp;CHOOSE(MOD(Calc!D80+Inputs!$B$6-1,7)+1,"Mon","Tue","Wed","Thu","Fri","Sat","Sun")))</f>
        <v/>
      </c>
    </row>
    <row r="81" customFormat="false" ht="15" hidden="false" customHeight="false" outlineLevel="0" collapsed="false">
      <c r="A81" s="6" t="str">
        <f aca="false">IF(Calc!B81=1,76,"")</f>
        <v/>
      </c>
      <c r="B81" s="6" t="str">
        <f aca="false">IF(Calc!B81=0,"",IF(Inputs!B98&lt;&gt;"",Inputs!B98,"Agent "&amp;76))</f>
        <v/>
      </c>
      <c r="C81" s="13" t="str">
        <f aca="false">IF(Calc!$B81=0,"",IF(Calc!F$3=0,"Closed",IF(Calc!F81=0,"Off",TEXT(MOD(Calc!T81,1),"h:mm AM/PM")&amp;IF(Calc!T81&gt;=1," (+1)","")&amp;" - "&amp;TEXT(MOD(Calc!AA81,1),"h:mm AM/PM")&amp;IF(Calc!AA81&gt;1," (+1)",""))))</f>
        <v/>
      </c>
      <c r="D81" s="13" t="str">
        <f aca="false">IF(Calc!$B81=0,"",IF(Calc!G$3=0,"Closed",IF(Calc!G81=0,"Off",TEXT(MOD(Calc!U81,1),"h:mm AM/PM")&amp;IF(Calc!U81&gt;=1," (+1)","")&amp;" - "&amp;TEXT(MOD(Calc!AB81,1),"h:mm AM/PM")&amp;IF(Calc!AB81&gt;1," (+1)",""))))</f>
        <v/>
      </c>
      <c r="E81" s="13" t="str">
        <f aca="false">IF(Calc!$B81=0,"",IF(Calc!H$3=0,"Closed",IF(Calc!H81=0,"Off",TEXT(MOD(Calc!V81,1),"h:mm AM/PM")&amp;IF(Calc!V81&gt;=1," (+1)","")&amp;" - "&amp;TEXT(MOD(Calc!AC81,1),"h:mm AM/PM")&amp;IF(Calc!AC81&gt;1," (+1)",""))))</f>
        <v/>
      </c>
      <c r="F81" s="13" t="str">
        <f aca="false">IF(Calc!$B81=0,"",IF(Calc!I$3=0,"Closed",IF(Calc!I81=0,"Off",TEXT(MOD(Calc!W81,1),"h:mm AM/PM")&amp;IF(Calc!W81&gt;=1," (+1)","")&amp;" - "&amp;TEXT(MOD(Calc!AD81,1),"h:mm AM/PM")&amp;IF(Calc!AD81&gt;1," (+1)",""))))</f>
        <v/>
      </c>
      <c r="G81" s="13" t="str">
        <f aca="false">IF(Calc!$B81=0,"",IF(Calc!J$3=0,"Closed",IF(Calc!J81=0,"Off",TEXT(MOD(Calc!X81,1),"h:mm AM/PM")&amp;IF(Calc!X81&gt;=1," (+1)","")&amp;" - "&amp;TEXT(MOD(Calc!AE81,1),"h:mm AM/PM")&amp;IF(Calc!AE81&gt;1," (+1)",""))))</f>
        <v/>
      </c>
      <c r="H81" s="13" t="str">
        <f aca="false">IF(Calc!$B81=0,"",IF(Calc!K$3=0,"Closed",IF(Calc!K81=0,"Off",TEXT(MOD(Calc!Y81,1),"h:mm AM/PM")&amp;IF(Calc!Y81&gt;=1," (+1)","")&amp;" - "&amp;TEXT(MOD(Calc!AF81,1),"h:mm AM/PM")&amp;IF(Calc!AF81&gt;1," (+1)",""))))</f>
        <v/>
      </c>
      <c r="I81" s="13" t="str">
        <f aca="false">IF(Calc!$B81=0,"",IF(Calc!L$3=0,"Closed",IF(Calc!L81=0,"Off",TEXT(MOD(Calc!Z81,1),"h:mm AM/PM")&amp;IF(Calc!Z81&gt;=1," (+1)","")&amp;" - "&amp;TEXT(MOD(Calc!AG81,1),"h:mm AM/PM")&amp;IF(Calc!AG81&gt;1," (+1)",""))))</f>
        <v/>
      </c>
      <c r="J81" s="12" t="str">
        <f aca="false">IF(Calc!B81=0,"",(SUM(Calc!AA81:AG81)-SUM(Calc!T81:Z81))*24)</f>
        <v/>
      </c>
      <c r="K81" s="6" t="str">
        <f aca="false">IF(Calc!B81=0,"",SUM(Calc!F81:L81))</f>
        <v/>
      </c>
      <c r="L81" s="6" t="str">
        <f aca="false">IF(Calc!B81=0,"",IF(Inputs!$B$6=0,"None",CHOOSE(Calc!D81+1,"Mon","Tue","Wed","Thu","Fri","Sat","Sun")&amp;" to "&amp;CHOOSE(MOD(Calc!D81+Inputs!$B$6-1,7)+1,"Mon","Tue","Wed","Thu","Fri","Sat","Sun")))</f>
        <v/>
      </c>
    </row>
    <row r="82" customFormat="false" ht="15" hidden="false" customHeight="false" outlineLevel="0" collapsed="false">
      <c r="A82" s="6" t="str">
        <f aca="false">IF(Calc!B82=1,77,"")</f>
        <v/>
      </c>
      <c r="B82" s="6" t="str">
        <f aca="false">IF(Calc!B82=0,"",IF(Inputs!B99&lt;&gt;"",Inputs!B99,"Agent "&amp;77))</f>
        <v/>
      </c>
      <c r="C82" s="13" t="str">
        <f aca="false">IF(Calc!$B82=0,"",IF(Calc!F$3=0,"Closed",IF(Calc!F82=0,"Off",TEXT(MOD(Calc!T82,1),"h:mm AM/PM")&amp;IF(Calc!T82&gt;=1," (+1)","")&amp;" - "&amp;TEXT(MOD(Calc!AA82,1),"h:mm AM/PM")&amp;IF(Calc!AA82&gt;1," (+1)",""))))</f>
        <v/>
      </c>
      <c r="D82" s="13" t="str">
        <f aca="false">IF(Calc!$B82=0,"",IF(Calc!G$3=0,"Closed",IF(Calc!G82=0,"Off",TEXT(MOD(Calc!U82,1),"h:mm AM/PM")&amp;IF(Calc!U82&gt;=1," (+1)","")&amp;" - "&amp;TEXT(MOD(Calc!AB82,1),"h:mm AM/PM")&amp;IF(Calc!AB82&gt;1," (+1)",""))))</f>
        <v/>
      </c>
      <c r="E82" s="13" t="str">
        <f aca="false">IF(Calc!$B82=0,"",IF(Calc!H$3=0,"Closed",IF(Calc!H82=0,"Off",TEXT(MOD(Calc!V82,1),"h:mm AM/PM")&amp;IF(Calc!V82&gt;=1," (+1)","")&amp;" - "&amp;TEXT(MOD(Calc!AC82,1),"h:mm AM/PM")&amp;IF(Calc!AC82&gt;1," (+1)",""))))</f>
        <v/>
      </c>
      <c r="F82" s="13" t="str">
        <f aca="false">IF(Calc!$B82=0,"",IF(Calc!I$3=0,"Closed",IF(Calc!I82=0,"Off",TEXT(MOD(Calc!W82,1),"h:mm AM/PM")&amp;IF(Calc!W82&gt;=1," (+1)","")&amp;" - "&amp;TEXT(MOD(Calc!AD82,1),"h:mm AM/PM")&amp;IF(Calc!AD82&gt;1," (+1)",""))))</f>
        <v/>
      </c>
      <c r="G82" s="13" t="str">
        <f aca="false">IF(Calc!$B82=0,"",IF(Calc!J$3=0,"Closed",IF(Calc!J82=0,"Off",TEXT(MOD(Calc!X82,1),"h:mm AM/PM")&amp;IF(Calc!X82&gt;=1," (+1)","")&amp;" - "&amp;TEXT(MOD(Calc!AE82,1),"h:mm AM/PM")&amp;IF(Calc!AE82&gt;1," (+1)",""))))</f>
        <v/>
      </c>
      <c r="H82" s="13" t="str">
        <f aca="false">IF(Calc!$B82=0,"",IF(Calc!K$3=0,"Closed",IF(Calc!K82=0,"Off",TEXT(MOD(Calc!Y82,1),"h:mm AM/PM")&amp;IF(Calc!Y82&gt;=1," (+1)","")&amp;" - "&amp;TEXT(MOD(Calc!AF82,1),"h:mm AM/PM")&amp;IF(Calc!AF82&gt;1," (+1)",""))))</f>
        <v/>
      </c>
      <c r="I82" s="13" t="str">
        <f aca="false">IF(Calc!$B82=0,"",IF(Calc!L$3=0,"Closed",IF(Calc!L82=0,"Off",TEXT(MOD(Calc!Z82,1),"h:mm AM/PM")&amp;IF(Calc!Z82&gt;=1," (+1)","")&amp;" - "&amp;TEXT(MOD(Calc!AG82,1),"h:mm AM/PM")&amp;IF(Calc!AG82&gt;1," (+1)",""))))</f>
        <v/>
      </c>
      <c r="J82" s="12" t="str">
        <f aca="false">IF(Calc!B82=0,"",(SUM(Calc!AA82:AG82)-SUM(Calc!T82:Z82))*24)</f>
        <v/>
      </c>
      <c r="K82" s="6" t="str">
        <f aca="false">IF(Calc!B82=0,"",SUM(Calc!F82:L82))</f>
        <v/>
      </c>
      <c r="L82" s="6" t="str">
        <f aca="false">IF(Calc!B82=0,"",IF(Inputs!$B$6=0,"None",CHOOSE(Calc!D82+1,"Mon","Tue","Wed","Thu","Fri","Sat","Sun")&amp;" to "&amp;CHOOSE(MOD(Calc!D82+Inputs!$B$6-1,7)+1,"Mon","Tue","Wed","Thu","Fri","Sat","Sun")))</f>
        <v/>
      </c>
    </row>
    <row r="83" customFormat="false" ht="15" hidden="false" customHeight="false" outlineLevel="0" collapsed="false">
      <c r="A83" s="6" t="str">
        <f aca="false">IF(Calc!B83=1,78,"")</f>
        <v/>
      </c>
      <c r="B83" s="6" t="str">
        <f aca="false">IF(Calc!B83=0,"",IF(Inputs!B100&lt;&gt;"",Inputs!B100,"Agent "&amp;78))</f>
        <v/>
      </c>
      <c r="C83" s="13" t="str">
        <f aca="false">IF(Calc!$B83=0,"",IF(Calc!F$3=0,"Closed",IF(Calc!F83=0,"Off",TEXT(MOD(Calc!T83,1),"h:mm AM/PM")&amp;IF(Calc!T83&gt;=1," (+1)","")&amp;" - "&amp;TEXT(MOD(Calc!AA83,1),"h:mm AM/PM")&amp;IF(Calc!AA83&gt;1," (+1)",""))))</f>
        <v/>
      </c>
      <c r="D83" s="13" t="str">
        <f aca="false">IF(Calc!$B83=0,"",IF(Calc!G$3=0,"Closed",IF(Calc!G83=0,"Off",TEXT(MOD(Calc!U83,1),"h:mm AM/PM")&amp;IF(Calc!U83&gt;=1," (+1)","")&amp;" - "&amp;TEXT(MOD(Calc!AB83,1),"h:mm AM/PM")&amp;IF(Calc!AB83&gt;1," (+1)",""))))</f>
        <v/>
      </c>
      <c r="E83" s="13" t="str">
        <f aca="false">IF(Calc!$B83=0,"",IF(Calc!H$3=0,"Closed",IF(Calc!H83=0,"Off",TEXT(MOD(Calc!V83,1),"h:mm AM/PM")&amp;IF(Calc!V83&gt;=1," (+1)","")&amp;" - "&amp;TEXT(MOD(Calc!AC83,1),"h:mm AM/PM")&amp;IF(Calc!AC83&gt;1," (+1)",""))))</f>
        <v/>
      </c>
      <c r="F83" s="13" t="str">
        <f aca="false">IF(Calc!$B83=0,"",IF(Calc!I$3=0,"Closed",IF(Calc!I83=0,"Off",TEXT(MOD(Calc!W83,1),"h:mm AM/PM")&amp;IF(Calc!W83&gt;=1," (+1)","")&amp;" - "&amp;TEXT(MOD(Calc!AD83,1),"h:mm AM/PM")&amp;IF(Calc!AD83&gt;1," (+1)",""))))</f>
        <v/>
      </c>
      <c r="G83" s="13" t="str">
        <f aca="false">IF(Calc!$B83=0,"",IF(Calc!J$3=0,"Closed",IF(Calc!J83=0,"Off",TEXT(MOD(Calc!X83,1),"h:mm AM/PM")&amp;IF(Calc!X83&gt;=1," (+1)","")&amp;" - "&amp;TEXT(MOD(Calc!AE83,1),"h:mm AM/PM")&amp;IF(Calc!AE83&gt;1," (+1)",""))))</f>
        <v/>
      </c>
      <c r="H83" s="13" t="str">
        <f aca="false">IF(Calc!$B83=0,"",IF(Calc!K$3=0,"Closed",IF(Calc!K83=0,"Off",TEXT(MOD(Calc!Y83,1),"h:mm AM/PM")&amp;IF(Calc!Y83&gt;=1," (+1)","")&amp;" - "&amp;TEXT(MOD(Calc!AF83,1),"h:mm AM/PM")&amp;IF(Calc!AF83&gt;1," (+1)",""))))</f>
        <v/>
      </c>
      <c r="I83" s="13" t="str">
        <f aca="false">IF(Calc!$B83=0,"",IF(Calc!L$3=0,"Closed",IF(Calc!L83=0,"Off",TEXT(MOD(Calc!Z83,1),"h:mm AM/PM")&amp;IF(Calc!Z83&gt;=1," (+1)","")&amp;" - "&amp;TEXT(MOD(Calc!AG83,1),"h:mm AM/PM")&amp;IF(Calc!AG83&gt;1," (+1)",""))))</f>
        <v/>
      </c>
      <c r="J83" s="12" t="str">
        <f aca="false">IF(Calc!B83=0,"",(SUM(Calc!AA83:AG83)-SUM(Calc!T83:Z83))*24)</f>
        <v/>
      </c>
      <c r="K83" s="6" t="str">
        <f aca="false">IF(Calc!B83=0,"",SUM(Calc!F83:L83))</f>
        <v/>
      </c>
      <c r="L83" s="6" t="str">
        <f aca="false">IF(Calc!B83=0,"",IF(Inputs!$B$6=0,"None",CHOOSE(Calc!D83+1,"Mon","Tue","Wed","Thu","Fri","Sat","Sun")&amp;" to "&amp;CHOOSE(MOD(Calc!D83+Inputs!$B$6-1,7)+1,"Mon","Tue","Wed","Thu","Fri","Sat","Sun")))</f>
        <v/>
      </c>
    </row>
    <row r="84" customFormat="false" ht="15" hidden="false" customHeight="false" outlineLevel="0" collapsed="false">
      <c r="A84" s="6" t="str">
        <f aca="false">IF(Calc!B84=1,79,"")</f>
        <v/>
      </c>
      <c r="B84" s="6" t="str">
        <f aca="false">IF(Calc!B84=0,"",IF(Inputs!B101&lt;&gt;"",Inputs!B101,"Agent "&amp;79))</f>
        <v/>
      </c>
      <c r="C84" s="13" t="str">
        <f aca="false">IF(Calc!$B84=0,"",IF(Calc!F$3=0,"Closed",IF(Calc!F84=0,"Off",TEXT(MOD(Calc!T84,1),"h:mm AM/PM")&amp;IF(Calc!T84&gt;=1," (+1)","")&amp;" - "&amp;TEXT(MOD(Calc!AA84,1),"h:mm AM/PM")&amp;IF(Calc!AA84&gt;1," (+1)",""))))</f>
        <v/>
      </c>
      <c r="D84" s="13" t="str">
        <f aca="false">IF(Calc!$B84=0,"",IF(Calc!G$3=0,"Closed",IF(Calc!G84=0,"Off",TEXT(MOD(Calc!U84,1),"h:mm AM/PM")&amp;IF(Calc!U84&gt;=1," (+1)","")&amp;" - "&amp;TEXT(MOD(Calc!AB84,1),"h:mm AM/PM")&amp;IF(Calc!AB84&gt;1," (+1)",""))))</f>
        <v/>
      </c>
      <c r="E84" s="13" t="str">
        <f aca="false">IF(Calc!$B84=0,"",IF(Calc!H$3=0,"Closed",IF(Calc!H84=0,"Off",TEXT(MOD(Calc!V84,1),"h:mm AM/PM")&amp;IF(Calc!V84&gt;=1," (+1)","")&amp;" - "&amp;TEXT(MOD(Calc!AC84,1),"h:mm AM/PM")&amp;IF(Calc!AC84&gt;1," (+1)",""))))</f>
        <v/>
      </c>
      <c r="F84" s="13" t="str">
        <f aca="false">IF(Calc!$B84=0,"",IF(Calc!I$3=0,"Closed",IF(Calc!I84=0,"Off",TEXT(MOD(Calc!W84,1),"h:mm AM/PM")&amp;IF(Calc!W84&gt;=1," (+1)","")&amp;" - "&amp;TEXT(MOD(Calc!AD84,1),"h:mm AM/PM")&amp;IF(Calc!AD84&gt;1," (+1)",""))))</f>
        <v/>
      </c>
      <c r="G84" s="13" t="str">
        <f aca="false">IF(Calc!$B84=0,"",IF(Calc!J$3=0,"Closed",IF(Calc!J84=0,"Off",TEXT(MOD(Calc!X84,1),"h:mm AM/PM")&amp;IF(Calc!X84&gt;=1," (+1)","")&amp;" - "&amp;TEXT(MOD(Calc!AE84,1),"h:mm AM/PM")&amp;IF(Calc!AE84&gt;1," (+1)",""))))</f>
        <v/>
      </c>
      <c r="H84" s="13" t="str">
        <f aca="false">IF(Calc!$B84=0,"",IF(Calc!K$3=0,"Closed",IF(Calc!K84=0,"Off",TEXT(MOD(Calc!Y84,1),"h:mm AM/PM")&amp;IF(Calc!Y84&gt;=1," (+1)","")&amp;" - "&amp;TEXT(MOD(Calc!AF84,1),"h:mm AM/PM")&amp;IF(Calc!AF84&gt;1," (+1)",""))))</f>
        <v/>
      </c>
      <c r="I84" s="13" t="str">
        <f aca="false">IF(Calc!$B84=0,"",IF(Calc!L$3=0,"Closed",IF(Calc!L84=0,"Off",TEXT(MOD(Calc!Z84,1),"h:mm AM/PM")&amp;IF(Calc!Z84&gt;=1," (+1)","")&amp;" - "&amp;TEXT(MOD(Calc!AG84,1),"h:mm AM/PM")&amp;IF(Calc!AG84&gt;1," (+1)",""))))</f>
        <v/>
      </c>
      <c r="J84" s="12" t="str">
        <f aca="false">IF(Calc!B84=0,"",(SUM(Calc!AA84:AG84)-SUM(Calc!T84:Z84))*24)</f>
        <v/>
      </c>
      <c r="K84" s="6" t="str">
        <f aca="false">IF(Calc!B84=0,"",SUM(Calc!F84:L84))</f>
        <v/>
      </c>
      <c r="L84" s="6" t="str">
        <f aca="false">IF(Calc!B84=0,"",IF(Inputs!$B$6=0,"None",CHOOSE(Calc!D84+1,"Mon","Tue","Wed","Thu","Fri","Sat","Sun")&amp;" to "&amp;CHOOSE(MOD(Calc!D84+Inputs!$B$6-1,7)+1,"Mon","Tue","Wed","Thu","Fri","Sat","Sun")))</f>
        <v/>
      </c>
    </row>
    <row r="85" customFormat="false" ht="15" hidden="false" customHeight="false" outlineLevel="0" collapsed="false">
      <c r="A85" s="6" t="str">
        <f aca="false">IF(Calc!B85=1,80,"")</f>
        <v/>
      </c>
      <c r="B85" s="6" t="str">
        <f aca="false">IF(Calc!B85=0,"",IF(Inputs!B102&lt;&gt;"",Inputs!B102,"Agent "&amp;80))</f>
        <v/>
      </c>
      <c r="C85" s="13" t="str">
        <f aca="false">IF(Calc!$B85=0,"",IF(Calc!F$3=0,"Closed",IF(Calc!F85=0,"Off",TEXT(MOD(Calc!T85,1),"h:mm AM/PM")&amp;IF(Calc!T85&gt;=1," (+1)","")&amp;" - "&amp;TEXT(MOD(Calc!AA85,1),"h:mm AM/PM")&amp;IF(Calc!AA85&gt;1," (+1)",""))))</f>
        <v/>
      </c>
      <c r="D85" s="13" t="str">
        <f aca="false">IF(Calc!$B85=0,"",IF(Calc!G$3=0,"Closed",IF(Calc!G85=0,"Off",TEXT(MOD(Calc!U85,1),"h:mm AM/PM")&amp;IF(Calc!U85&gt;=1," (+1)","")&amp;" - "&amp;TEXT(MOD(Calc!AB85,1),"h:mm AM/PM")&amp;IF(Calc!AB85&gt;1," (+1)",""))))</f>
        <v/>
      </c>
      <c r="E85" s="13" t="str">
        <f aca="false">IF(Calc!$B85=0,"",IF(Calc!H$3=0,"Closed",IF(Calc!H85=0,"Off",TEXT(MOD(Calc!V85,1),"h:mm AM/PM")&amp;IF(Calc!V85&gt;=1," (+1)","")&amp;" - "&amp;TEXT(MOD(Calc!AC85,1),"h:mm AM/PM")&amp;IF(Calc!AC85&gt;1," (+1)",""))))</f>
        <v/>
      </c>
      <c r="F85" s="13" t="str">
        <f aca="false">IF(Calc!$B85=0,"",IF(Calc!I$3=0,"Closed",IF(Calc!I85=0,"Off",TEXT(MOD(Calc!W85,1),"h:mm AM/PM")&amp;IF(Calc!W85&gt;=1," (+1)","")&amp;" - "&amp;TEXT(MOD(Calc!AD85,1),"h:mm AM/PM")&amp;IF(Calc!AD85&gt;1," (+1)",""))))</f>
        <v/>
      </c>
      <c r="G85" s="13" t="str">
        <f aca="false">IF(Calc!$B85=0,"",IF(Calc!J$3=0,"Closed",IF(Calc!J85=0,"Off",TEXT(MOD(Calc!X85,1),"h:mm AM/PM")&amp;IF(Calc!X85&gt;=1," (+1)","")&amp;" - "&amp;TEXT(MOD(Calc!AE85,1),"h:mm AM/PM")&amp;IF(Calc!AE85&gt;1," (+1)",""))))</f>
        <v/>
      </c>
      <c r="H85" s="13" t="str">
        <f aca="false">IF(Calc!$B85=0,"",IF(Calc!K$3=0,"Closed",IF(Calc!K85=0,"Off",TEXT(MOD(Calc!Y85,1),"h:mm AM/PM")&amp;IF(Calc!Y85&gt;=1," (+1)","")&amp;" - "&amp;TEXT(MOD(Calc!AF85,1),"h:mm AM/PM")&amp;IF(Calc!AF85&gt;1," (+1)",""))))</f>
        <v/>
      </c>
      <c r="I85" s="13" t="str">
        <f aca="false">IF(Calc!$B85=0,"",IF(Calc!L$3=0,"Closed",IF(Calc!L85=0,"Off",TEXT(MOD(Calc!Z85,1),"h:mm AM/PM")&amp;IF(Calc!Z85&gt;=1," (+1)","")&amp;" - "&amp;TEXT(MOD(Calc!AG85,1),"h:mm AM/PM")&amp;IF(Calc!AG85&gt;1," (+1)",""))))</f>
        <v/>
      </c>
      <c r="J85" s="12" t="str">
        <f aca="false">IF(Calc!B85=0,"",(SUM(Calc!AA85:AG85)-SUM(Calc!T85:Z85))*24)</f>
        <v/>
      </c>
      <c r="K85" s="6" t="str">
        <f aca="false">IF(Calc!B85=0,"",SUM(Calc!F85:L85))</f>
        <v/>
      </c>
      <c r="L85" s="6" t="str">
        <f aca="false">IF(Calc!B85=0,"",IF(Inputs!$B$6=0,"None",CHOOSE(Calc!D85+1,"Mon","Tue","Wed","Thu","Fri","Sat","Sun")&amp;" to "&amp;CHOOSE(MOD(Calc!D85+Inputs!$B$6-1,7)+1,"Mon","Tue","Wed","Thu","Fri","Sat","Sun")))</f>
        <v/>
      </c>
    </row>
    <row r="86" customFormat="false" ht="15" hidden="false" customHeight="false" outlineLevel="0" collapsed="false">
      <c r="A86" s="6" t="str">
        <f aca="false">IF(Calc!B86=1,81,"")</f>
        <v/>
      </c>
      <c r="B86" s="6" t="str">
        <f aca="false">IF(Calc!B86=0,"",IF(Inputs!B103&lt;&gt;"",Inputs!B103,"Agent "&amp;81))</f>
        <v/>
      </c>
      <c r="C86" s="13" t="str">
        <f aca="false">IF(Calc!$B86=0,"",IF(Calc!F$3=0,"Closed",IF(Calc!F86=0,"Off",TEXT(MOD(Calc!T86,1),"h:mm AM/PM")&amp;IF(Calc!T86&gt;=1," (+1)","")&amp;" - "&amp;TEXT(MOD(Calc!AA86,1),"h:mm AM/PM")&amp;IF(Calc!AA86&gt;1," (+1)",""))))</f>
        <v/>
      </c>
      <c r="D86" s="13" t="str">
        <f aca="false">IF(Calc!$B86=0,"",IF(Calc!G$3=0,"Closed",IF(Calc!G86=0,"Off",TEXT(MOD(Calc!U86,1),"h:mm AM/PM")&amp;IF(Calc!U86&gt;=1," (+1)","")&amp;" - "&amp;TEXT(MOD(Calc!AB86,1),"h:mm AM/PM")&amp;IF(Calc!AB86&gt;1," (+1)",""))))</f>
        <v/>
      </c>
      <c r="E86" s="13" t="str">
        <f aca="false">IF(Calc!$B86=0,"",IF(Calc!H$3=0,"Closed",IF(Calc!H86=0,"Off",TEXT(MOD(Calc!V86,1),"h:mm AM/PM")&amp;IF(Calc!V86&gt;=1," (+1)","")&amp;" - "&amp;TEXT(MOD(Calc!AC86,1),"h:mm AM/PM")&amp;IF(Calc!AC86&gt;1," (+1)",""))))</f>
        <v/>
      </c>
      <c r="F86" s="13" t="str">
        <f aca="false">IF(Calc!$B86=0,"",IF(Calc!I$3=0,"Closed",IF(Calc!I86=0,"Off",TEXT(MOD(Calc!W86,1),"h:mm AM/PM")&amp;IF(Calc!W86&gt;=1," (+1)","")&amp;" - "&amp;TEXT(MOD(Calc!AD86,1),"h:mm AM/PM")&amp;IF(Calc!AD86&gt;1," (+1)",""))))</f>
        <v/>
      </c>
      <c r="G86" s="13" t="str">
        <f aca="false">IF(Calc!$B86=0,"",IF(Calc!J$3=0,"Closed",IF(Calc!J86=0,"Off",TEXT(MOD(Calc!X86,1),"h:mm AM/PM")&amp;IF(Calc!X86&gt;=1," (+1)","")&amp;" - "&amp;TEXT(MOD(Calc!AE86,1),"h:mm AM/PM")&amp;IF(Calc!AE86&gt;1," (+1)",""))))</f>
        <v/>
      </c>
      <c r="H86" s="13" t="str">
        <f aca="false">IF(Calc!$B86=0,"",IF(Calc!K$3=0,"Closed",IF(Calc!K86=0,"Off",TEXT(MOD(Calc!Y86,1),"h:mm AM/PM")&amp;IF(Calc!Y86&gt;=1," (+1)","")&amp;" - "&amp;TEXT(MOD(Calc!AF86,1),"h:mm AM/PM")&amp;IF(Calc!AF86&gt;1," (+1)",""))))</f>
        <v/>
      </c>
      <c r="I86" s="13" t="str">
        <f aca="false">IF(Calc!$B86=0,"",IF(Calc!L$3=0,"Closed",IF(Calc!L86=0,"Off",TEXT(MOD(Calc!Z86,1),"h:mm AM/PM")&amp;IF(Calc!Z86&gt;=1," (+1)","")&amp;" - "&amp;TEXT(MOD(Calc!AG86,1),"h:mm AM/PM")&amp;IF(Calc!AG86&gt;1," (+1)",""))))</f>
        <v/>
      </c>
      <c r="J86" s="12" t="str">
        <f aca="false">IF(Calc!B86=0,"",(SUM(Calc!AA86:AG86)-SUM(Calc!T86:Z86))*24)</f>
        <v/>
      </c>
      <c r="K86" s="6" t="str">
        <f aca="false">IF(Calc!B86=0,"",SUM(Calc!F86:L86))</f>
        <v/>
      </c>
      <c r="L86" s="6" t="str">
        <f aca="false">IF(Calc!B86=0,"",IF(Inputs!$B$6=0,"None",CHOOSE(Calc!D86+1,"Mon","Tue","Wed","Thu","Fri","Sat","Sun")&amp;" to "&amp;CHOOSE(MOD(Calc!D86+Inputs!$B$6-1,7)+1,"Mon","Tue","Wed","Thu","Fri","Sat","Sun")))</f>
        <v/>
      </c>
    </row>
    <row r="87" customFormat="false" ht="15" hidden="false" customHeight="false" outlineLevel="0" collapsed="false">
      <c r="A87" s="6" t="str">
        <f aca="false">IF(Calc!B87=1,82,"")</f>
        <v/>
      </c>
      <c r="B87" s="6" t="str">
        <f aca="false">IF(Calc!B87=0,"",IF(Inputs!B104&lt;&gt;"",Inputs!B104,"Agent "&amp;82))</f>
        <v/>
      </c>
      <c r="C87" s="13" t="str">
        <f aca="false">IF(Calc!$B87=0,"",IF(Calc!F$3=0,"Closed",IF(Calc!F87=0,"Off",TEXT(MOD(Calc!T87,1),"h:mm AM/PM")&amp;IF(Calc!T87&gt;=1," (+1)","")&amp;" - "&amp;TEXT(MOD(Calc!AA87,1),"h:mm AM/PM")&amp;IF(Calc!AA87&gt;1," (+1)",""))))</f>
        <v/>
      </c>
      <c r="D87" s="13" t="str">
        <f aca="false">IF(Calc!$B87=0,"",IF(Calc!G$3=0,"Closed",IF(Calc!G87=0,"Off",TEXT(MOD(Calc!U87,1),"h:mm AM/PM")&amp;IF(Calc!U87&gt;=1," (+1)","")&amp;" - "&amp;TEXT(MOD(Calc!AB87,1),"h:mm AM/PM")&amp;IF(Calc!AB87&gt;1," (+1)",""))))</f>
        <v/>
      </c>
      <c r="E87" s="13" t="str">
        <f aca="false">IF(Calc!$B87=0,"",IF(Calc!H$3=0,"Closed",IF(Calc!H87=0,"Off",TEXT(MOD(Calc!V87,1),"h:mm AM/PM")&amp;IF(Calc!V87&gt;=1," (+1)","")&amp;" - "&amp;TEXT(MOD(Calc!AC87,1),"h:mm AM/PM")&amp;IF(Calc!AC87&gt;1," (+1)",""))))</f>
        <v/>
      </c>
      <c r="F87" s="13" t="str">
        <f aca="false">IF(Calc!$B87=0,"",IF(Calc!I$3=0,"Closed",IF(Calc!I87=0,"Off",TEXT(MOD(Calc!W87,1),"h:mm AM/PM")&amp;IF(Calc!W87&gt;=1," (+1)","")&amp;" - "&amp;TEXT(MOD(Calc!AD87,1),"h:mm AM/PM")&amp;IF(Calc!AD87&gt;1," (+1)",""))))</f>
        <v/>
      </c>
      <c r="G87" s="13" t="str">
        <f aca="false">IF(Calc!$B87=0,"",IF(Calc!J$3=0,"Closed",IF(Calc!J87=0,"Off",TEXT(MOD(Calc!X87,1),"h:mm AM/PM")&amp;IF(Calc!X87&gt;=1," (+1)","")&amp;" - "&amp;TEXT(MOD(Calc!AE87,1),"h:mm AM/PM")&amp;IF(Calc!AE87&gt;1," (+1)",""))))</f>
        <v/>
      </c>
      <c r="H87" s="13" t="str">
        <f aca="false">IF(Calc!$B87=0,"",IF(Calc!K$3=0,"Closed",IF(Calc!K87=0,"Off",TEXT(MOD(Calc!Y87,1),"h:mm AM/PM")&amp;IF(Calc!Y87&gt;=1," (+1)","")&amp;" - "&amp;TEXT(MOD(Calc!AF87,1),"h:mm AM/PM")&amp;IF(Calc!AF87&gt;1," (+1)",""))))</f>
        <v/>
      </c>
      <c r="I87" s="13" t="str">
        <f aca="false">IF(Calc!$B87=0,"",IF(Calc!L$3=0,"Closed",IF(Calc!L87=0,"Off",TEXT(MOD(Calc!Z87,1),"h:mm AM/PM")&amp;IF(Calc!Z87&gt;=1," (+1)","")&amp;" - "&amp;TEXT(MOD(Calc!AG87,1),"h:mm AM/PM")&amp;IF(Calc!AG87&gt;1," (+1)",""))))</f>
        <v/>
      </c>
      <c r="J87" s="12" t="str">
        <f aca="false">IF(Calc!B87=0,"",(SUM(Calc!AA87:AG87)-SUM(Calc!T87:Z87))*24)</f>
        <v/>
      </c>
      <c r="K87" s="6" t="str">
        <f aca="false">IF(Calc!B87=0,"",SUM(Calc!F87:L87))</f>
        <v/>
      </c>
      <c r="L87" s="6" t="str">
        <f aca="false">IF(Calc!B87=0,"",IF(Inputs!$B$6=0,"None",CHOOSE(Calc!D87+1,"Mon","Tue","Wed","Thu","Fri","Sat","Sun")&amp;" to "&amp;CHOOSE(MOD(Calc!D87+Inputs!$B$6-1,7)+1,"Mon","Tue","Wed","Thu","Fri","Sat","Sun")))</f>
        <v/>
      </c>
    </row>
    <row r="88" customFormat="false" ht="15" hidden="false" customHeight="false" outlineLevel="0" collapsed="false">
      <c r="A88" s="6" t="str">
        <f aca="false">IF(Calc!B88=1,83,"")</f>
        <v/>
      </c>
      <c r="B88" s="6" t="str">
        <f aca="false">IF(Calc!B88=0,"",IF(Inputs!B105&lt;&gt;"",Inputs!B105,"Agent "&amp;83))</f>
        <v/>
      </c>
      <c r="C88" s="13" t="str">
        <f aca="false">IF(Calc!$B88=0,"",IF(Calc!F$3=0,"Closed",IF(Calc!F88=0,"Off",TEXT(MOD(Calc!T88,1),"h:mm AM/PM")&amp;IF(Calc!T88&gt;=1," (+1)","")&amp;" - "&amp;TEXT(MOD(Calc!AA88,1),"h:mm AM/PM")&amp;IF(Calc!AA88&gt;1," (+1)",""))))</f>
        <v/>
      </c>
      <c r="D88" s="13" t="str">
        <f aca="false">IF(Calc!$B88=0,"",IF(Calc!G$3=0,"Closed",IF(Calc!G88=0,"Off",TEXT(MOD(Calc!U88,1),"h:mm AM/PM")&amp;IF(Calc!U88&gt;=1," (+1)","")&amp;" - "&amp;TEXT(MOD(Calc!AB88,1),"h:mm AM/PM")&amp;IF(Calc!AB88&gt;1," (+1)",""))))</f>
        <v/>
      </c>
      <c r="E88" s="13" t="str">
        <f aca="false">IF(Calc!$B88=0,"",IF(Calc!H$3=0,"Closed",IF(Calc!H88=0,"Off",TEXT(MOD(Calc!V88,1),"h:mm AM/PM")&amp;IF(Calc!V88&gt;=1," (+1)","")&amp;" - "&amp;TEXT(MOD(Calc!AC88,1),"h:mm AM/PM")&amp;IF(Calc!AC88&gt;1," (+1)",""))))</f>
        <v/>
      </c>
      <c r="F88" s="13" t="str">
        <f aca="false">IF(Calc!$B88=0,"",IF(Calc!I$3=0,"Closed",IF(Calc!I88=0,"Off",TEXT(MOD(Calc!W88,1),"h:mm AM/PM")&amp;IF(Calc!W88&gt;=1," (+1)","")&amp;" - "&amp;TEXT(MOD(Calc!AD88,1),"h:mm AM/PM")&amp;IF(Calc!AD88&gt;1," (+1)",""))))</f>
        <v/>
      </c>
      <c r="G88" s="13" t="str">
        <f aca="false">IF(Calc!$B88=0,"",IF(Calc!J$3=0,"Closed",IF(Calc!J88=0,"Off",TEXT(MOD(Calc!X88,1),"h:mm AM/PM")&amp;IF(Calc!X88&gt;=1," (+1)","")&amp;" - "&amp;TEXT(MOD(Calc!AE88,1),"h:mm AM/PM")&amp;IF(Calc!AE88&gt;1," (+1)",""))))</f>
        <v/>
      </c>
      <c r="H88" s="13" t="str">
        <f aca="false">IF(Calc!$B88=0,"",IF(Calc!K$3=0,"Closed",IF(Calc!K88=0,"Off",TEXT(MOD(Calc!Y88,1),"h:mm AM/PM")&amp;IF(Calc!Y88&gt;=1," (+1)","")&amp;" - "&amp;TEXT(MOD(Calc!AF88,1),"h:mm AM/PM")&amp;IF(Calc!AF88&gt;1," (+1)",""))))</f>
        <v/>
      </c>
      <c r="I88" s="13" t="str">
        <f aca="false">IF(Calc!$B88=0,"",IF(Calc!L$3=0,"Closed",IF(Calc!L88=0,"Off",TEXT(MOD(Calc!Z88,1),"h:mm AM/PM")&amp;IF(Calc!Z88&gt;=1," (+1)","")&amp;" - "&amp;TEXT(MOD(Calc!AG88,1),"h:mm AM/PM")&amp;IF(Calc!AG88&gt;1," (+1)",""))))</f>
        <v/>
      </c>
      <c r="J88" s="12" t="str">
        <f aca="false">IF(Calc!B88=0,"",(SUM(Calc!AA88:AG88)-SUM(Calc!T88:Z88))*24)</f>
        <v/>
      </c>
      <c r="K88" s="6" t="str">
        <f aca="false">IF(Calc!B88=0,"",SUM(Calc!F88:L88))</f>
        <v/>
      </c>
      <c r="L88" s="6" t="str">
        <f aca="false">IF(Calc!B88=0,"",IF(Inputs!$B$6=0,"None",CHOOSE(Calc!D88+1,"Mon","Tue","Wed","Thu","Fri","Sat","Sun")&amp;" to "&amp;CHOOSE(MOD(Calc!D88+Inputs!$B$6-1,7)+1,"Mon","Tue","Wed","Thu","Fri","Sat","Sun")))</f>
        <v/>
      </c>
    </row>
    <row r="89" customFormat="false" ht="15" hidden="false" customHeight="false" outlineLevel="0" collapsed="false">
      <c r="A89" s="6" t="str">
        <f aca="false">IF(Calc!B89=1,84,"")</f>
        <v/>
      </c>
      <c r="B89" s="6" t="str">
        <f aca="false">IF(Calc!B89=0,"",IF(Inputs!B106&lt;&gt;"",Inputs!B106,"Agent "&amp;84))</f>
        <v/>
      </c>
      <c r="C89" s="13" t="str">
        <f aca="false">IF(Calc!$B89=0,"",IF(Calc!F$3=0,"Closed",IF(Calc!F89=0,"Off",TEXT(MOD(Calc!T89,1),"h:mm AM/PM")&amp;IF(Calc!T89&gt;=1," (+1)","")&amp;" - "&amp;TEXT(MOD(Calc!AA89,1),"h:mm AM/PM")&amp;IF(Calc!AA89&gt;1," (+1)",""))))</f>
        <v/>
      </c>
      <c r="D89" s="13" t="str">
        <f aca="false">IF(Calc!$B89=0,"",IF(Calc!G$3=0,"Closed",IF(Calc!G89=0,"Off",TEXT(MOD(Calc!U89,1),"h:mm AM/PM")&amp;IF(Calc!U89&gt;=1," (+1)","")&amp;" - "&amp;TEXT(MOD(Calc!AB89,1),"h:mm AM/PM")&amp;IF(Calc!AB89&gt;1," (+1)",""))))</f>
        <v/>
      </c>
      <c r="E89" s="13" t="str">
        <f aca="false">IF(Calc!$B89=0,"",IF(Calc!H$3=0,"Closed",IF(Calc!H89=0,"Off",TEXT(MOD(Calc!V89,1),"h:mm AM/PM")&amp;IF(Calc!V89&gt;=1," (+1)","")&amp;" - "&amp;TEXT(MOD(Calc!AC89,1),"h:mm AM/PM")&amp;IF(Calc!AC89&gt;1," (+1)",""))))</f>
        <v/>
      </c>
      <c r="F89" s="13" t="str">
        <f aca="false">IF(Calc!$B89=0,"",IF(Calc!I$3=0,"Closed",IF(Calc!I89=0,"Off",TEXT(MOD(Calc!W89,1),"h:mm AM/PM")&amp;IF(Calc!W89&gt;=1," (+1)","")&amp;" - "&amp;TEXT(MOD(Calc!AD89,1),"h:mm AM/PM")&amp;IF(Calc!AD89&gt;1," (+1)",""))))</f>
        <v/>
      </c>
      <c r="G89" s="13" t="str">
        <f aca="false">IF(Calc!$B89=0,"",IF(Calc!J$3=0,"Closed",IF(Calc!J89=0,"Off",TEXT(MOD(Calc!X89,1),"h:mm AM/PM")&amp;IF(Calc!X89&gt;=1," (+1)","")&amp;" - "&amp;TEXT(MOD(Calc!AE89,1),"h:mm AM/PM")&amp;IF(Calc!AE89&gt;1," (+1)",""))))</f>
        <v/>
      </c>
      <c r="H89" s="13" t="str">
        <f aca="false">IF(Calc!$B89=0,"",IF(Calc!K$3=0,"Closed",IF(Calc!K89=0,"Off",TEXT(MOD(Calc!Y89,1),"h:mm AM/PM")&amp;IF(Calc!Y89&gt;=1," (+1)","")&amp;" - "&amp;TEXT(MOD(Calc!AF89,1),"h:mm AM/PM")&amp;IF(Calc!AF89&gt;1," (+1)",""))))</f>
        <v/>
      </c>
      <c r="I89" s="13" t="str">
        <f aca="false">IF(Calc!$B89=0,"",IF(Calc!L$3=0,"Closed",IF(Calc!L89=0,"Off",TEXT(MOD(Calc!Z89,1),"h:mm AM/PM")&amp;IF(Calc!Z89&gt;=1," (+1)","")&amp;" - "&amp;TEXT(MOD(Calc!AG89,1),"h:mm AM/PM")&amp;IF(Calc!AG89&gt;1," (+1)",""))))</f>
        <v/>
      </c>
      <c r="J89" s="12" t="str">
        <f aca="false">IF(Calc!B89=0,"",(SUM(Calc!AA89:AG89)-SUM(Calc!T89:Z89))*24)</f>
        <v/>
      </c>
      <c r="K89" s="6" t="str">
        <f aca="false">IF(Calc!B89=0,"",SUM(Calc!F89:L89))</f>
        <v/>
      </c>
      <c r="L89" s="6" t="str">
        <f aca="false">IF(Calc!B89=0,"",IF(Inputs!$B$6=0,"None",CHOOSE(Calc!D89+1,"Mon","Tue","Wed","Thu","Fri","Sat","Sun")&amp;" to "&amp;CHOOSE(MOD(Calc!D89+Inputs!$B$6-1,7)+1,"Mon","Tue","Wed","Thu","Fri","Sat","Sun")))</f>
        <v/>
      </c>
    </row>
    <row r="90" customFormat="false" ht="15" hidden="false" customHeight="false" outlineLevel="0" collapsed="false">
      <c r="A90" s="6" t="str">
        <f aca="false">IF(Calc!B90=1,85,"")</f>
        <v/>
      </c>
      <c r="B90" s="6" t="str">
        <f aca="false">IF(Calc!B90=0,"",IF(Inputs!B107&lt;&gt;"",Inputs!B107,"Agent "&amp;85))</f>
        <v/>
      </c>
      <c r="C90" s="13" t="str">
        <f aca="false">IF(Calc!$B90=0,"",IF(Calc!F$3=0,"Closed",IF(Calc!F90=0,"Off",TEXT(MOD(Calc!T90,1),"h:mm AM/PM")&amp;IF(Calc!T90&gt;=1," (+1)","")&amp;" - "&amp;TEXT(MOD(Calc!AA90,1),"h:mm AM/PM")&amp;IF(Calc!AA90&gt;1," (+1)",""))))</f>
        <v/>
      </c>
      <c r="D90" s="13" t="str">
        <f aca="false">IF(Calc!$B90=0,"",IF(Calc!G$3=0,"Closed",IF(Calc!G90=0,"Off",TEXT(MOD(Calc!U90,1),"h:mm AM/PM")&amp;IF(Calc!U90&gt;=1," (+1)","")&amp;" - "&amp;TEXT(MOD(Calc!AB90,1),"h:mm AM/PM")&amp;IF(Calc!AB90&gt;1," (+1)",""))))</f>
        <v/>
      </c>
      <c r="E90" s="13" t="str">
        <f aca="false">IF(Calc!$B90=0,"",IF(Calc!H$3=0,"Closed",IF(Calc!H90=0,"Off",TEXT(MOD(Calc!V90,1),"h:mm AM/PM")&amp;IF(Calc!V90&gt;=1," (+1)","")&amp;" - "&amp;TEXT(MOD(Calc!AC90,1),"h:mm AM/PM")&amp;IF(Calc!AC90&gt;1," (+1)",""))))</f>
        <v/>
      </c>
      <c r="F90" s="13" t="str">
        <f aca="false">IF(Calc!$B90=0,"",IF(Calc!I$3=0,"Closed",IF(Calc!I90=0,"Off",TEXT(MOD(Calc!W90,1),"h:mm AM/PM")&amp;IF(Calc!W90&gt;=1," (+1)","")&amp;" - "&amp;TEXT(MOD(Calc!AD90,1),"h:mm AM/PM")&amp;IF(Calc!AD90&gt;1," (+1)",""))))</f>
        <v/>
      </c>
      <c r="G90" s="13" t="str">
        <f aca="false">IF(Calc!$B90=0,"",IF(Calc!J$3=0,"Closed",IF(Calc!J90=0,"Off",TEXT(MOD(Calc!X90,1),"h:mm AM/PM")&amp;IF(Calc!X90&gt;=1," (+1)","")&amp;" - "&amp;TEXT(MOD(Calc!AE90,1),"h:mm AM/PM")&amp;IF(Calc!AE90&gt;1," (+1)",""))))</f>
        <v/>
      </c>
      <c r="H90" s="13" t="str">
        <f aca="false">IF(Calc!$B90=0,"",IF(Calc!K$3=0,"Closed",IF(Calc!K90=0,"Off",TEXT(MOD(Calc!Y90,1),"h:mm AM/PM")&amp;IF(Calc!Y90&gt;=1," (+1)","")&amp;" - "&amp;TEXT(MOD(Calc!AF90,1),"h:mm AM/PM")&amp;IF(Calc!AF90&gt;1," (+1)",""))))</f>
        <v/>
      </c>
      <c r="I90" s="13" t="str">
        <f aca="false">IF(Calc!$B90=0,"",IF(Calc!L$3=0,"Closed",IF(Calc!L90=0,"Off",TEXT(MOD(Calc!Z90,1),"h:mm AM/PM")&amp;IF(Calc!Z90&gt;=1," (+1)","")&amp;" - "&amp;TEXT(MOD(Calc!AG90,1),"h:mm AM/PM")&amp;IF(Calc!AG90&gt;1," (+1)",""))))</f>
        <v/>
      </c>
      <c r="J90" s="12" t="str">
        <f aca="false">IF(Calc!B90=0,"",(SUM(Calc!AA90:AG90)-SUM(Calc!T90:Z90))*24)</f>
        <v/>
      </c>
      <c r="K90" s="6" t="str">
        <f aca="false">IF(Calc!B90=0,"",SUM(Calc!F90:L90))</f>
        <v/>
      </c>
      <c r="L90" s="6" t="str">
        <f aca="false">IF(Calc!B90=0,"",IF(Inputs!$B$6=0,"None",CHOOSE(Calc!D90+1,"Mon","Tue","Wed","Thu","Fri","Sat","Sun")&amp;" to "&amp;CHOOSE(MOD(Calc!D90+Inputs!$B$6-1,7)+1,"Mon","Tue","Wed","Thu","Fri","Sat","Sun")))</f>
        <v/>
      </c>
    </row>
    <row r="91" customFormat="false" ht="15" hidden="false" customHeight="false" outlineLevel="0" collapsed="false">
      <c r="A91" s="6" t="str">
        <f aca="false">IF(Calc!B91=1,86,"")</f>
        <v/>
      </c>
      <c r="B91" s="6" t="str">
        <f aca="false">IF(Calc!B91=0,"",IF(Inputs!B108&lt;&gt;"",Inputs!B108,"Agent "&amp;86))</f>
        <v/>
      </c>
      <c r="C91" s="13" t="str">
        <f aca="false">IF(Calc!$B91=0,"",IF(Calc!F$3=0,"Closed",IF(Calc!F91=0,"Off",TEXT(MOD(Calc!T91,1),"h:mm AM/PM")&amp;IF(Calc!T91&gt;=1," (+1)","")&amp;" - "&amp;TEXT(MOD(Calc!AA91,1),"h:mm AM/PM")&amp;IF(Calc!AA91&gt;1," (+1)",""))))</f>
        <v/>
      </c>
      <c r="D91" s="13" t="str">
        <f aca="false">IF(Calc!$B91=0,"",IF(Calc!G$3=0,"Closed",IF(Calc!G91=0,"Off",TEXT(MOD(Calc!U91,1),"h:mm AM/PM")&amp;IF(Calc!U91&gt;=1," (+1)","")&amp;" - "&amp;TEXT(MOD(Calc!AB91,1),"h:mm AM/PM")&amp;IF(Calc!AB91&gt;1," (+1)",""))))</f>
        <v/>
      </c>
      <c r="E91" s="13" t="str">
        <f aca="false">IF(Calc!$B91=0,"",IF(Calc!H$3=0,"Closed",IF(Calc!H91=0,"Off",TEXT(MOD(Calc!V91,1),"h:mm AM/PM")&amp;IF(Calc!V91&gt;=1," (+1)","")&amp;" - "&amp;TEXT(MOD(Calc!AC91,1),"h:mm AM/PM")&amp;IF(Calc!AC91&gt;1," (+1)",""))))</f>
        <v/>
      </c>
      <c r="F91" s="13" t="str">
        <f aca="false">IF(Calc!$B91=0,"",IF(Calc!I$3=0,"Closed",IF(Calc!I91=0,"Off",TEXT(MOD(Calc!W91,1),"h:mm AM/PM")&amp;IF(Calc!W91&gt;=1," (+1)","")&amp;" - "&amp;TEXT(MOD(Calc!AD91,1),"h:mm AM/PM")&amp;IF(Calc!AD91&gt;1," (+1)",""))))</f>
        <v/>
      </c>
      <c r="G91" s="13" t="str">
        <f aca="false">IF(Calc!$B91=0,"",IF(Calc!J$3=0,"Closed",IF(Calc!J91=0,"Off",TEXT(MOD(Calc!X91,1),"h:mm AM/PM")&amp;IF(Calc!X91&gt;=1," (+1)","")&amp;" - "&amp;TEXT(MOD(Calc!AE91,1),"h:mm AM/PM")&amp;IF(Calc!AE91&gt;1," (+1)",""))))</f>
        <v/>
      </c>
      <c r="H91" s="13" t="str">
        <f aca="false">IF(Calc!$B91=0,"",IF(Calc!K$3=0,"Closed",IF(Calc!K91=0,"Off",TEXT(MOD(Calc!Y91,1),"h:mm AM/PM")&amp;IF(Calc!Y91&gt;=1," (+1)","")&amp;" - "&amp;TEXT(MOD(Calc!AF91,1),"h:mm AM/PM")&amp;IF(Calc!AF91&gt;1," (+1)",""))))</f>
        <v/>
      </c>
      <c r="I91" s="13" t="str">
        <f aca="false">IF(Calc!$B91=0,"",IF(Calc!L$3=0,"Closed",IF(Calc!L91=0,"Off",TEXT(MOD(Calc!Z91,1),"h:mm AM/PM")&amp;IF(Calc!Z91&gt;=1," (+1)","")&amp;" - "&amp;TEXT(MOD(Calc!AG91,1),"h:mm AM/PM")&amp;IF(Calc!AG91&gt;1," (+1)",""))))</f>
        <v/>
      </c>
      <c r="J91" s="12" t="str">
        <f aca="false">IF(Calc!B91=0,"",(SUM(Calc!AA91:AG91)-SUM(Calc!T91:Z91))*24)</f>
        <v/>
      </c>
      <c r="K91" s="6" t="str">
        <f aca="false">IF(Calc!B91=0,"",SUM(Calc!F91:L91))</f>
        <v/>
      </c>
      <c r="L91" s="6" t="str">
        <f aca="false">IF(Calc!B91=0,"",IF(Inputs!$B$6=0,"None",CHOOSE(Calc!D91+1,"Mon","Tue","Wed","Thu","Fri","Sat","Sun")&amp;" to "&amp;CHOOSE(MOD(Calc!D91+Inputs!$B$6-1,7)+1,"Mon","Tue","Wed","Thu","Fri","Sat","Sun")))</f>
        <v/>
      </c>
    </row>
    <row r="92" customFormat="false" ht="15" hidden="false" customHeight="false" outlineLevel="0" collapsed="false">
      <c r="A92" s="6" t="str">
        <f aca="false">IF(Calc!B92=1,87,"")</f>
        <v/>
      </c>
      <c r="B92" s="6" t="str">
        <f aca="false">IF(Calc!B92=0,"",IF(Inputs!B109&lt;&gt;"",Inputs!B109,"Agent "&amp;87))</f>
        <v/>
      </c>
      <c r="C92" s="13" t="str">
        <f aca="false">IF(Calc!$B92=0,"",IF(Calc!F$3=0,"Closed",IF(Calc!F92=0,"Off",TEXT(MOD(Calc!T92,1),"h:mm AM/PM")&amp;IF(Calc!T92&gt;=1," (+1)","")&amp;" - "&amp;TEXT(MOD(Calc!AA92,1),"h:mm AM/PM")&amp;IF(Calc!AA92&gt;1," (+1)",""))))</f>
        <v/>
      </c>
      <c r="D92" s="13" t="str">
        <f aca="false">IF(Calc!$B92=0,"",IF(Calc!G$3=0,"Closed",IF(Calc!G92=0,"Off",TEXT(MOD(Calc!U92,1),"h:mm AM/PM")&amp;IF(Calc!U92&gt;=1," (+1)","")&amp;" - "&amp;TEXT(MOD(Calc!AB92,1),"h:mm AM/PM")&amp;IF(Calc!AB92&gt;1," (+1)",""))))</f>
        <v/>
      </c>
      <c r="E92" s="13" t="str">
        <f aca="false">IF(Calc!$B92=0,"",IF(Calc!H$3=0,"Closed",IF(Calc!H92=0,"Off",TEXT(MOD(Calc!V92,1),"h:mm AM/PM")&amp;IF(Calc!V92&gt;=1," (+1)","")&amp;" - "&amp;TEXT(MOD(Calc!AC92,1),"h:mm AM/PM")&amp;IF(Calc!AC92&gt;1," (+1)",""))))</f>
        <v/>
      </c>
      <c r="F92" s="13" t="str">
        <f aca="false">IF(Calc!$B92=0,"",IF(Calc!I$3=0,"Closed",IF(Calc!I92=0,"Off",TEXT(MOD(Calc!W92,1),"h:mm AM/PM")&amp;IF(Calc!W92&gt;=1," (+1)","")&amp;" - "&amp;TEXT(MOD(Calc!AD92,1),"h:mm AM/PM")&amp;IF(Calc!AD92&gt;1," (+1)",""))))</f>
        <v/>
      </c>
      <c r="G92" s="13" t="str">
        <f aca="false">IF(Calc!$B92=0,"",IF(Calc!J$3=0,"Closed",IF(Calc!J92=0,"Off",TEXT(MOD(Calc!X92,1),"h:mm AM/PM")&amp;IF(Calc!X92&gt;=1," (+1)","")&amp;" - "&amp;TEXT(MOD(Calc!AE92,1),"h:mm AM/PM")&amp;IF(Calc!AE92&gt;1," (+1)",""))))</f>
        <v/>
      </c>
      <c r="H92" s="13" t="str">
        <f aca="false">IF(Calc!$B92=0,"",IF(Calc!K$3=0,"Closed",IF(Calc!K92=0,"Off",TEXT(MOD(Calc!Y92,1),"h:mm AM/PM")&amp;IF(Calc!Y92&gt;=1," (+1)","")&amp;" - "&amp;TEXT(MOD(Calc!AF92,1),"h:mm AM/PM")&amp;IF(Calc!AF92&gt;1," (+1)",""))))</f>
        <v/>
      </c>
      <c r="I92" s="13" t="str">
        <f aca="false">IF(Calc!$B92=0,"",IF(Calc!L$3=0,"Closed",IF(Calc!L92=0,"Off",TEXT(MOD(Calc!Z92,1),"h:mm AM/PM")&amp;IF(Calc!Z92&gt;=1," (+1)","")&amp;" - "&amp;TEXT(MOD(Calc!AG92,1),"h:mm AM/PM")&amp;IF(Calc!AG92&gt;1," (+1)",""))))</f>
        <v/>
      </c>
      <c r="J92" s="12" t="str">
        <f aca="false">IF(Calc!B92=0,"",(SUM(Calc!AA92:AG92)-SUM(Calc!T92:Z92))*24)</f>
        <v/>
      </c>
      <c r="K92" s="6" t="str">
        <f aca="false">IF(Calc!B92=0,"",SUM(Calc!F92:L92))</f>
        <v/>
      </c>
      <c r="L92" s="6" t="str">
        <f aca="false">IF(Calc!B92=0,"",IF(Inputs!$B$6=0,"None",CHOOSE(Calc!D92+1,"Mon","Tue","Wed","Thu","Fri","Sat","Sun")&amp;" to "&amp;CHOOSE(MOD(Calc!D92+Inputs!$B$6-1,7)+1,"Mon","Tue","Wed","Thu","Fri","Sat","Sun")))</f>
        <v/>
      </c>
    </row>
    <row r="93" customFormat="false" ht="15" hidden="false" customHeight="false" outlineLevel="0" collapsed="false">
      <c r="A93" s="6" t="str">
        <f aca="false">IF(Calc!B93=1,88,"")</f>
        <v/>
      </c>
      <c r="B93" s="6" t="str">
        <f aca="false">IF(Calc!B93=0,"",IF(Inputs!B110&lt;&gt;"",Inputs!B110,"Agent "&amp;88))</f>
        <v/>
      </c>
      <c r="C93" s="13" t="str">
        <f aca="false">IF(Calc!$B93=0,"",IF(Calc!F$3=0,"Closed",IF(Calc!F93=0,"Off",TEXT(MOD(Calc!T93,1),"h:mm AM/PM")&amp;IF(Calc!T93&gt;=1," (+1)","")&amp;" - "&amp;TEXT(MOD(Calc!AA93,1),"h:mm AM/PM")&amp;IF(Calc!AA93&gt;1," (+1)",""))))</f>
        <v/>
      </c>
      <c r="D93" s="13" t="str">
        <f aca="false">IF(Calc!$B93=0,"",IF(Calc!G$3=0,"Closed",IF(Calc!G93=0,"Off",TEXT(MOD(Calc!U93,1),"h:mm AM/PM")&amp;IF(Calc!U93&gt;=1," (+1)","")&amp;" - "&amp;TEXT(MOD(Calc!AB93,1),"h:mm AM/PM")&amp;IF(Calc!AB93&gt;1," (+1)",""))))</f>
        <v/>
      </c>
      <c r="E93" s="13" t="str">
        <f aca="false">IF(Calc!$B93=0,"",IF(Calc!H$3=0,"Closed",IF(Calc!H93=0,"Off",TEXT(MOD(Calc!V93,1),"h:mm AM/PM")&amp;IF(Calc!V93&gt;=1," (+1)","")&amp;" - "&amp;TEXT(MOD(Calc!AC93,1),"h:mm AM/PM")&amp;IF(Calc!AC93&gt;1," (+1)",""))))</f>
        <v/>
      </c>
      <c r="F93" s="13" t="str">
        <f aca="false">IF(Calc!$B93=0,"",IF(Calc!I$3=0,"Closed",IF(Calc!I93=0,"Off",TEXT(MOD(Calc!W93,1),"h:mm AM/PM")&amp;IF(Calc!W93&gt;=1," (+1)","")&amp;" - "&amp;TEXT(MOD(Calc!AD93,1),"h:mm AM/PM")&amp;IF(Calc!AD93&gt;1," (+1)",""))))</f>
        <v/>
      </c>
      <c r="G93" s="13" t="str">
        <f aca="false">IF(Calc!$B93=0,"",IF(Calc!J$3=0,"Closed",IF(Calc!J93=0,"Off",TEXT(MOD(Calc!X93,1),"h:mm AM/PM")&amp;IF(Calc!X93&gt;=1," (+1)","")&amp;" - "&amp;TEXT(MOD(Calc!AE93,1),"h:mm AM/PM")&amp;IF(Calc!AE93&gt;1," (+1)",""))))</f>
        <v/>
      </c>
      <c r="H93" s="13" t="str">
        <f aca="false">IF(Calc!$B93=0,"",IF(Calc!K$3=0,"Closed",IF(Calc!K93=0,"Off",TEXT(MOD(Calc!Y93,1),"h:mm AM/PM")&amp;IF(Calc!Y93&gt;=1," (+1)","")&amp;" - "&amp;TEXT(MOD(Calc!AF93,1),"h:mm AM/PM")&amp;IF(Calc!AF93&gt;1," (+1)",""))))</f>
        <v/>
      </c>
      <c r="I93" s="13" t="str">
        <f aca="false">IF(Calc!$B93=0,"",IF(Calc!L$3=0,"Closed",IF(Calc!L93=0,"Off",TEXT(MOD(Calc!Z93,1),"h:mm AM/PM")&amp;IF(Calc!Z93&gt;=1," (+1)","")&amp;" - "&amp;TEXT(MOD(Calc!AG93,1),"h:mm AM/PM")&amp;IF(Calc!AG93&gt;1," (+1)",""))))</f>
        <v/>
      </c>
      <c r="J93" s="12" t="str">
        <f aca="false">IF(Calc!B93=0,"",(SUM(Calc!AA93:AG93)-SUM(Calc!T93:Z93))*24)</f>
        <v/>
      </c>
      <c r="K93" s="6" t="str">
        <f aca="false">IF(Calc!B93=0,"",SUM(Calc!F93:L93))</f>
        <v/>
      </c>
      <c r="L93" s="6" t="str">
        <f aca="false">IF(Calc!B93=0,"",IF(Inputs!$B$6=0,"None",CHOOSE(Calc!D93+1,"Mon","Tue","Wed","Thu","Fri","Sat","Sun")&amp;" to "&amp;CHOOSE(MOD(Calc!D93+Inputs!$B$6-1,7)+1,"Mon","Tue","Wed","Thu","Fri","Sat","Sun")))</f>
        <v/>
      </c>
    </row>
    <row r="94" customFormat="false" ht="15" hidden="false" customHeight="false" outlineLevel="0" collapsed="false">
      <c r="A94" s="6" t="str">
        <f aca="false">IF(Calc!B94=1,89,"")</f>
        <v/>
      </c>
      <c r="B94" s="6" t="str">
        <f aca="false">IF(Calc!B94=0,"",IF(Inputs!B111&lt;&gt;"",Inputs!B111,"Agent "&amp;89))</f>
        <v/>
      </c>
      <c r="C94" s="13" t="str">
        <f aca="false">IF(Calc!$B94=0,"",IF(Calc!F$3=0,"Closed",IF(Calc!F94=0,"Off",TEXT(MOD(Calc!T94,1),"h:mm AM/PM")&amp;IF(Calc!T94&gt;=1," (+1)","")&amp;" - "&amp;TEXT(MOD(Calc!AA94,1),"h:mm AM/PM")&amp;IF(Calc!AA94&gt;1," (+1)",""))))</f>
        <v/>
      </c>
      <c r="D94" s="13" t="str">
        <f aca="false">IF(Calc!$B94=0,"",IF(Calc!G$3=0,"Closed",IF(Calc!G94=0,"Off",TEXT(MOD(Calc!U94,1),"h:mm AM/PM")&amp;IF(Calc!U94&gt;=1," (+1)","")&amp;" - "&amp;TEXT(MOD(Calc!AB94,1),"h:mm AM/PM")&amp;IF(Calc!AB94&gt;1," (+1)",""))))</f>
        <v/>
      </c>
      <c r="E94" s="13" t="str">
        <f aca="false">IF(Calc!$B94=0,"",IF(Calc!H$3=0,"Closed",IF(Calc!H94=0,"Off",TEXT(MOD(Calc!V94,1),"h:mm AM/PM")&amp;IF(Calc!V94&gt;=1," (+1)","")&amp;" - "&amp;TEXT(MOD(Calc!AC94,1),"h:mm AM/PM")&amp;IF(Calc!AC94&gt;1," (+1)",""))))</f>
        <v/>
      </c>
      <c r="F94" s="13" t="str">
        <f aca="false">IF(Calc!$B94=0,"",IF(Calc!I$3=0,"Closed",IF(Calc!I94=0,"Off",TEXT(MOD(Calc!W94,1),"h:mm AM/PM")&amp;IF(Calc!W94&gt;=1," (+1)","")&amp;" - "&amp;TEXT(MOD(Calc!AD94,1),"h:mm AM/PM")&amp;IF(Calc!AD94&gt;1," (+1)",""))))</f>
        <v/>
      </c>
      <c r="G94" s="13" t="str">
        <f aca="false">IF(Calc!$B94=0,"",IF(Calc!J$3=0,"Closed",IF(Calc!J94=0,"Off",TEXT(MOD(Calc!X94,1),"h:mm AM/PM")&amp;IF(Calc!X94&gt;=1," (+1)","")&amp;" - "&amp;TEXT(MOD(Calc!AE94,1),"h:mm AM/PM")&amp;IF(Calc!AE94&gt;1," (+1)",""))))</f>
        <v/>
      </c>
      <c r="H94" s="13" t="str">
        <f aca="false">IF(Calc!$B94=0,"",IF(Calc!K$3=0,"Closed",IF(Calc!K94=0,"Off",TEXT(MOD(Calc!Y94,1),"h:mm AM/PM")&amp;IF(Calc!Y94&gt;=1," (+1)","")&amp;" - "&amp;TEXT(MOD(Calc!AF94,1),"h:mm AM/PM")&amp;IF(Calc!AF94&gt;1," (+1)",""))))</f>
        <v/>
      </c>
      <c r="I94" s="13" t="str">
        <f aca="false">IF(Calc!$B94=0,"",IF(Calc!L$3=0,"Closed",IF(Calc!L94=0,"Off",TEXT(MOD(Calc!Z94,1),"h:mm AM/PM")&amp;IF(Calc!Z94&gt;=1," (+1)","")&amp;" - "&amp;TEXT(MOD(Calc!AG94,1),"h:mm AM/PM")&amp;IF(Calc!AG94&gt;1," (+1)",""))))</f>
        <v/>
      </c>
      <c r="J94" s="12" t="str">
        <f aca="false">IF(Calc!B94=0,"",(SUM(Calc!AA94:AG94)-SUM(Calc!T94:Z94))*24)</f>
        <v/>
      </c>
      <c r="K94" s="6" t="str">
        <f aca="false">IF(Calc!B94=0,"",SUM(Calc!F94:L94))</f>
        <v/>
      </c>
      <c r="L94" s="6" t="str">
        <f aca="false">IF(Calc!B94=0,"",IF(Inputs!$B$6=0,"None",CHOOSE(Calc!D94+1,"Mon","Tue","Wed","Thu","Fri","Sat","Sun")&amp;" to "&amp;CHOOSE(MOD(Calc!D94+Inputs!$B$6-1,7)+1,"Mon","Tue","Wed","Thu","Fri","Sat","Sun")))</f>
        <v/>
      </c>
    </row>
    <row r="95" customFormat="false" ht="15" hidden="false" customHeight="false" outlineLevel="0" collapsed="false">
      <c r="A95" s="6" t="str">
        <f aca="false">IF(Calc!B95=1,90,"")</f>
        <v/>
      </c>
      <c r="B95" s="6" t="str">
        <f aca="false">IF(Calc!B95=0,"",IF(Inputs!B112&lt;&gt;"",Inputs!B112,"Agent "&amp;90))</f>
        <v/>
      </c>
      <c r="C95" s="13" t="str">
        <f aca="false">IF(Calc!$B95=0,"",IF(Calc!F$3=0,"Closed",IF(Calc!F95=0,"Off",TEXT(MOD(Calc!T95,1),"h:mm AM/PM")&amp;IF(Calc!T95&gt;=1," (+1)","")&amp;" - "&amp;TEXT(MOD(Calc!AA95,1),"h:mm AM/PM")&amp;IF(Calc!AA95&gt;1," (+1)",""))))</f>
        <v/>
      </c>
      <c r="D95" s="13" t="str">
        <f aca="false">IF(Calc!$B95=0,"",IF(Calc!G$3=0,"Closed",IF(Calc!G95=0,"Off",TEXT(MOD(Calc!U95,1),"h:mm AM/PM")&amp;IF(Calc!U95&gt;=1," (+1)","")&amp;" - "&amp;TEXT(MOD(Calc!AB95,1),"h:mm AM/PM")&amp;IF(Calc!AB95&gt;1," (+1)",""))))</f>
        <v/>
      </c>
      <c r="E95" s="13" t="str">
        <f aca="false">IF(Calc!$B95=0,"",IF(Calc!H$3=0,"Closed",IF(Calc!H95=0,"Off",TEXT(MOD(Calc!V95,1),"h:mm AM/PM")&amp;IF(Calc!V95&gt;=1," (+1)","")&amp;" - "&amp;TEXT(MOD(Calc!AC95,1),"h:mm AM/PM")&amp;IF(Calc!AC95&gt;1," (+1)",""))))</f>
        <v/>
      </c>
      <c r="F95" s="13" t="str">
        <f aca="false">IF(Calc!$B95=0,"",IF(Calc!I$3=0,"Closed",IF(Calc!I95=0,"Off",TEXT(MOD(Calc!W95,1),"h:mm AM/PM")&amp;IF(Calc!W95&gt;=1," (+1)","")&amp;" - "&amp;TEXT(MOD(Calc!AD95,1),"h:mm AM/PM")&amp;IF(Calc!AD95&gt;1," (+1)",""))))</f>
        <v/>
      </c>
      <c r="G95" s="13" t="str">
        <f aca="false">IF(Calc!$B95=0,"",IF(Calc!J$3=0,"Closed",IF(Calc!J95=0,"Off",TEXT(MOD(Calc!X95,1),"h:mm AM/PM")&amp;IF(Calc!X95&gt;=1," (+1)","")&amp;" - "&amp;TEXT(MOD(Calc!AE95,1),"h:mm AM/PM")&amp;IF(Calc!AE95&gt;1," (+1)",""))))</f>
        <v/>
      </c>
      <c r="H95" s="13" t="str">
        <f aca="false">IF(Calc!$B95=0,"",IF(Calc!K$3=0,"Closed",IF(Calc!K95=0,"Off",TEXT(MOD(Calc!Y95,1),"h:mm AM/PM")&amp;IF(Calc!Y95&gt;=1," (+1)","")&amp;" - "&amp;TEXT(MOD(Calc!AF95,1),"h:mm AM/PM")&amp;IF(Calc!AF95&gt;1," (+1)",""))))</f>
        <v/>
      </c>
      <c r="I95" s="13" t="str">
        <f aca="false">IF(Calc!$B95=0,"",IF(Calc!L$3=0,"Closed",IF(Calc!L95=0,"Off",TEXT(MOD(Calc!Z95,1),"h:mm AM/PM")&amp;IF(Calc!Z95&gt;=1," (+1)","")&amp;" - "&amp;TEXT(MOD(Calc!AG95,1),"h:mm AM/PM")&amp;IF(Calc!AG95&gt;1," (+1)",""))))</f>
        <v/>
      </c>
      <c r="J95" s="12" t="str">
        <f aca="false">IF(Calc!B95=0,"",(SUM(Calc!AA95:AG95)-SUM(Calc!T95:Z95))*24)</f>
        <v/>
      </c>
      <c r="K95" s="6" t="str">
        <f aca="false">IF(Calc!B95=0,"",SUM(Calc!F95:L95))</f>
        <v/>
      </c>
      <c r="L95" s="6" t="str">
        <f aca="false">IF(Calc!B95=0,"",IF(Inputs!$B$6=0,"None",CHOOSE(Calc!D95+1,"Mon","Tue","Wed","Thu","Fri","Sat","Sun")&amp;" to "&amp;CHOOSE(MOD(Calc!D95+Inputs!$B$6-1,7)+1,"Mon","Tue","Wed","Thu","Fri","Sat","Sun")))</f>
        <v/>
      </c>
    </row>
    <row r="96" customFormat="false" ht="15" hidden="false" customHeight="false" outlineLevel="0" collapsed="false">
      <c r="A96" s="6" t="str">
        <f aca="false">IF(Calc!B96=1,91,"")</f>
        <v/>
      </c>
      <c r="B96" s="6" t="str">
        <f aca="false">IF(Calc!B96=0,"",IF(Inputs!B113&lt;&gt;"",Inputs!B113,"Agent "&amp;91))</f>
        <v/>
      </c>
      <c r="C96" s="13" t="str">
        <f aca="false">IF(Calc!$B96=0,"",IF(Calc!F$3=0,"Closed",IF(Calc!F96=0,"Off",TEXT(MOD(Calc!T96,1),"h:mm AM/PM")&amp;IF(Calc!T96&gt;=1," (+1)","")&amp;" - "&amp;TEXT(MOD(Calc!AA96,1),"h:mm AM/PM")&amp;IF(Calc!AA96&gt;1," (+1)",""))))</f>
        <v/>
      </c>
      <c r="D96" s="13" t="str">
        <f aca="false">IF(Calc!$B96=0,"",IF(Calc!G$3=0,"Closed",IF(Calc!G96=0,"Off",TEXT(MOD(Calc!U96,1),"h:mm AM/PM")&amp;IF(Calc!U96&gt;=1," (+1)","")&amp;" - "&amp;TEXT(MOD(Calc!AB96,1),"h:mm AM/PM")&amp;IF(Calc!AB96&gt;1," (+1)",""))))</f>
        <v/>
      </c>
      <c r="E96" s="13" t="str">
        <f aca="false">IF(Calc!$B96=0,"",IF(Calc!H$3=0,"Closed",IF(Calc!H96=0,"Off",TEXT(MOD(Calc!V96,1),"h:mm AM/PM")&amp;IF(Calc!V96&gt;=1," (+1)","")&amp;" - "&amp;TEXT(MOD(Calc!AC96,1),"h:mm AM/PM")&amp;IF(Calc!AC96&gt;1," (+1)",""))))</f>
        <v/>
      </c>
      <c r="F96" s="13" t="str">
        <f aca="false">IF(Calc!$B96=0,"",IF(Calc!I$3=0,"Closed",IF(Calc!I96=0,"Off",TEXT(MOD(Calc!W96,1),"h:mm AM/PM")&amp;IF(Calc!W96&gt;=1," (+1)","")&amp;" - "&amp;TEXT(MOD(Calc!AD96,1),"h:mm AM/PM")&amp;IF(Calc!AD96&gt;1," (+1)",""))))</f>
        <v/>
      </c>
      <c r="G96" s="13" t="str">
        <f aca="false">IF(Calc!$B96=0,"",IF(Calc!J$3=0,"Closed",IF(Calc!J96=0,"Off",TEXT(MOD(Calc!X96,1),"h:mm AM/PM")&amp;IF(Calc!X96&gt;=1," (+1)","")&amp;" - "&amp;TEXT(MOD(Calc!AE96,1),"h:mm AM/PM")&amp;IF(Calc!AE96&gt;1," (+1)",""))))</f>
        <v/>
      </c>
      <c r="H96" s="13" t="str">
        <f aca="false">IF(Calc!$B96=0,"",IF(Calc!K$3=0,"Closed",IF(Calc!K96=0,"Off",TEXT(MOD(Calc!Y96,1),"h:mm AM/PM")&amp;IF(Calc!Y96&gt;=1," (+1)","")&amp;" - "&amp;TEXT(MOD(Calc!AF96,1),"h:mm AM/PM")&amp;IF(Calc!AF96&gt;1," (+1)",""))))</f>
        <v/>
      </c>
      <c r="I96" s="13" t="str">
        <f aca="false">IF(Calc!$B96=0,"",IF(Calc!L$3=0,"Closed",IF(Calc!L96=0,"Off",TEXT(MOD(Calc!Z96,1),"h:mm AM/PM")&amp;IF(Calc!Z96&gt;=1," (+1)","")&amp;" - "&amp;TEXT(MOD(Calc!AG96,1),"h:mm AM/PM")&amp;IF(Calc!AG96&gt;1," (+1)",""))))</f>
        <v/>
      </c>
      <c r="J96" s="12" t="str">
        <f aca="false">IF(Calc!B96=0,"",(SUM(Calc!AA96:AG96)-SUM(Calc!T96:Z96))*24)</f>
        <v/>
      </c>
      <c r="K96" s="6" t="str">
        <f aca="false">IF(Calc!B96=0,"",SUM(Calc!F96:L96))</f>
        <v/>
      </c>
      <c r="L96" s="6" t="str">
        <f aca="false">IF(Calc!B96=0,"",IF(Inputs!$B$6=0,"None",CHOOSE(Calc!D96+1,"Mon","Tue","Wed","Thu","Fri","Sat","Sun")&amp;" to "&amp;CHOOSE(MOD(Calc!D96+Inputs!$B$6-1,7)+1,"Mon","Tue","Wed","Thu","Fri","Sat","Sun")))</f>
        <v/>
      </c>
    </row>
    <row r="97" customFormat="false" ht="15" hidden="false" customHeight="false" outlineLevel="0" collapsed="false">
      <c r="A97" s="6" t="str">
        <f aca="false">IF(Calc!B97=1,92,"")</f>
        <v/>
      </c>
      <c r="B97" s="6" t="str">
        <f aca="false">IF(Calc!B97=0,"",IF(Inputs!B114&lt;&gt;"",Inputs!B114,"Agent "&amp;92))</f>
        <v/>
      </c>
      <c r="C97" s="13" t="str">
        <f aca="false">IF(Calc!$B97=0,"",IF(Calc!F$3=0,"Closed",IF(Calc!F97=0,"Off",TEXT(MOD(Calc!T97,1),"h:mm AM/PM")&amp;IF(Calc!T97&gt;=1," (+1)","")&amp;" - "&amp;TEXT(MOD(Calc!AA97,1),"h:mm AM/PM")&amp;IF(Calc!AA97&gt;1," (+1)",""))))</f>
        <v/>
      </c>
      <c r="D97" s="13" t="str">
        <f aca="false">IF(Calc!$B97=0,"",IF(Calc!G$3=0,"Closed",IF(Calc!G97=0,"Off",TEXT(MOD(Calc!U97,1),"h:mm AM/PM")&amp;IF(Calc!U97&gt;=1," (+1)","")&amp;" - "&amp;TEXT(MOD(Calc!AB97,1),"h:mm AM/PM")&amp;IF(Calc!AB97&gt;1," (+1)",""))))</f>
        <v/>
      </c>
      <c r="E97" s="13" t="str">
        <f aca="false">IF(Calc!$B97=0,"",IF(Calc!H$3=0,"Closed",IF(Calc!H97=0,"Off",TEXT(MOD(Calc!V97,1),"h:mm AM/PM")&amp;IF(Calc!V97&gt;=1," (+1)","")&amp;" - "&amp;TEXT(MOD(Calc!AC97,1),"h:mm AM/PM")&amp;IF(Calc!AC97&gt;1," (+1)",""))))</f>
        <v/>
      </c>
      <c r="F97" s="13" t="str">
        <f aca="false">IF(Calc!$B97=0,"",IF(Calc!I$3=0,"Closed",IF(Calc!I97=0,"Off",TEXT(MOD(Calc!W97,1),"h:mm AM/PM")&amp;IF(Calc!W97&gt;=1," (+1)","")&amp;" - "&amp;TEXT(MOD(Calc!AD97,1),"h:mm AM/PM")&amp;IF(Calc!AD97&gt;1," (+1)",""))))</f>
        <v/>
      </c>
      <c r="G97" s="13" t="str">
        <f aca="false">IF(Calc!$B97=0,"",IF(Calc!J$3=0,"Closed",IF(Calc!J97=0,"Off",TEXT(MOD(Calc!X97,1),"h:mm AM/PM")&amp;IF(Calc!X97&gt;=1," (+1)","")&amp;" - "&amp;TEXT(MOD(Calc!AE97,1),"h:mm AM/PM")&amp;IF(Calc!AE97&gt;1," (+1)",""))))</f>
        <v/>
      </c>
      <c r="H97" s="13" t="str">
        <f aca="false">IF(Calc!$B97=0,"",IF(Calc!K$3=0,"Closed",IF(Calc!K97=0,"Off",TEXT(MOD(Calc!Y97,1),"h:mm AM/PM")&amp;IF(Calc!Y97&gt;=1," (+1)","")&amp;" - "&amp;TEXT(MOD(Calc!AF97,1),"h:mm AM/PM")&amp;IF(Calc!AF97&gt;1," (+1)",""))))</f>
        <v/>
      </c>
      <c r="I97" s="13" t="str">
        <f aca="false">IF(Calc!$B97=0,"",IF(Calc!L$3=0,"Closed",IF(Calc!L97=0,"Off",TEXT(MOD(Calc!Z97,1),"h:mm AM/PM")&amp;IF(Calc!Z97&gt;=1," (+1)","")&amp;" - "&amp;TEXT(MOD(Calc!AG97,1),"h:mm AM/PM")&amp;IF(Calc!AG97&gt;1," (+1)",""))))</f>
        <v/>
      </c>
      <c r="J97" s="12" t="str">
        <f aca="false">IF(Calc!B97=0,"",(SUM(Calc!AA97:AG97)-SUM(Calc!T97:Z97))*24)</f>
        <v/>
      </c>
      <c r="K97" s="6" t="str">
        <f aca="false">IF(Calc!B97=0,"",SUM(Calc!F97:L97))</f>
        <v/>
      </c>
      <c r="L97" s="6" t="str">
        <f aca="false">IF(Calc!B97=0,"",IF(Inputs!$B$6=0,"None",CHOOSE(Calc!D97+1,"Mon","Tue","Wed","Thu","Fri","Sat","Sun")&amp;" to "&amp;CHOOSE(MOD(Calc!D97+Inputs!$B$6-1,7)+1,"Mon","Tue","Wed","Thu","Fri","Sat","Sun")))</f>
        <v/>
      </c>
    </row>
    <row r="98" customFormat="false" ht="15" hidden="false" customHeight="false" outlineLevel="0" collapsed="false">
      <c r="A98" s="6" t="str">
        <f aca="false">IF(Calc!B98=1,93,"")</f>
        <v/>
      </c>
      <c r="B98" s="6" t="str">
        <f aca="false">IF(Calc!B98=0,"",IF(Inputs!B115&lt;&gt;"",Inputs!B115,"Agent "&amp;93))</f>
        <v/>
      </c>
      <c r="C98" s="13" t="str">
        <f aca="false">IF(Calc!$B98=0,"",IF(Calc!F$3=0,"Closed",IF(Calc!F98=0,"Off",TEXT(MOD(Calc!T98,1),"h:mm AM/PM")&amp;IF(Calc!T98&gt;=1," (+1)","")&amp;" - "&amp;TEXT(MOD(Calc!AA98,1),"h:mm AM/PM")&amp;IF(Calc!AA98&gt;1," (+1)",""))))</f>
        <v/>
      </c>
      <c r="D98" s="13" t="str">
        <f aca="false">IF(Calc!$B98=0,"",IF(Calc!G$3=0,"Closed",IF(Calc!G98=0,"Off",TEXT(MOD(Calc!U98,1),"h:mm AM/PM")&amp;IF(Calc!U98&gt;=1," (+1)","")&amp;" - "&amp;TEXT(MOD(Calc!AB98,1),"h:mm AM/PM")&amp;IF(Calc!AB98&gt;1," (+1)",""))))</f>
        <v/>
      </c>
      <c r="E98" s="13" t="str">
        <f aca="false">IF(Calc!$B98=0,"",IF(Calc!H$3=0,"Closed",IF(Calc!H98=0,"Off",TEXT(MOD(Calc!V98,1),"h:mm AM/PM")&amp;IF(Calc!V98&gt;=1," (+1)","")&amp;" - "&amp;TEXT(MOD(Calc!AC98,1),"h:mm AM/PM")&amp;IF(Calc!AC98&gt;1," (+1)",""))))</f>
        <v/>
      </c>
      <c r="F98" s="13" t="str">
        <f aca="false">IF(Calc!$B98=0,"",IF(Calc!I$3=0,"Closed",IF(Calc!I98=0,"Off",TEXT(MOD(Calc!W98,1),"h:mm AM/PM")&amp;IF(Calc!W98&gt;=1," (+1)","")&amp;" - "&amp;TEXT(MOD(Calc!AD98,1),"h:mm AM/PM")&amp;IF(Calc!AD98&gt;1," (+1)",""))))</f>
        <v/>
      </c>
      <c r="G98" s="13" t="str">
        <f aca="false">IF(Calc!$B98=0,"",IF(Calc!J$3=0,"Closed",IF(Calc!J98=0,"Off",TEXT(MOD(Calc!X98,1),"h:mm AM/PM")&amp;IF(Calc!X98&gt;=1," (+1)","")&amp;" - "&amp;TEXT(MOD(Calc!AE98,1),"h:mm AM/PM")&amp;IF(Calc!AE98&gt;1," (+1)",""))))</f>
        <v/>
      </c>
      <c r="H98" s="13" t="str">
        <f aca="false">IF(Calc!$B98=0,"",IF(Calc!K$3=0,"Closed",IF(Calc!K98=0,"Off",TEXT(MOD(Calc!Y98,1),"h:mm AM/PM")&amp;IF(Calc!Y98&gt;=1," (+1)","")&amp;" - "&amp;TEXT(MOD(Calc!AF98,1),"h:mm AM/PM")&amp;IF(Calc!AF98&gt;1," (+1)",""))))</f>
        <v/>
      </c>
      <c r="I98" s="13" t="str">
        <f aca="false">IF(Calc!$B98=0,"",IF(Calc!L$3=0,"Closed",IF(Calc!L98=0,"Off",TEXT(MOD(Calc!Z98,1),"h:mm AM/PM")&amp;IF(Calc!Z98&gt;=1," (+1)","")&amp;" - "&amp;TEXT(MOD(Calc!AG98,1),"h:mm AM/PM")&amp;IF(Calc!AG98&gt;1," (+1)",""))))</f>
        <v/>
      </c>
      <c r="J98" s="12" t="str">
        <f aca="false">IF(Calc!B98=0,"",(SUM(Calc!AA98:AG98)-SUM(Calc!T98:Z98))*24)</f>
        <v/>
      </c>
      <c r="K98" s="6" t="str">
        <f aca="false">IF(Calc!B98=0,"",SUM(Calc!F98:L98))</f>
        <v/>
      </c>
      <c r="L98" s="6" t="str">
        <f aca="false">IF(Calc!B98=0,"",IF(Inputs!$B$6=0,"None",CHOOSE(Calc!D98+1,"Mon","Tue","Wed","Thu","Fri","Sat","Sun")&amp;" to "&amp;CHOOSE(MOD(Calc!D98+Inputs!$B$6-1,7)+1,"Mon","Tue","Wed","Thu","Fri","Sat","Sun")))</f>
        <v/>
      </c>
    </row>
    <row r="99" customFormat="false" ht="15" hidden="false" customHeight="false" outlineLevel="0" collapsed="false">
      <c r="A99" s="6" t="str">
        <f aca="false">IF(Calc!B99=1,94,"")</f>
        <v/>
      </c>
      <c r="B99" s="6" t="str">
        <f aca="false">IF(Calc!B99=0,"",IF(Inputs!B116&lt;&gt;"",Inputs!B116,"Agent "&amp;94))</f>
        <v/>
      </c>
      <c r="C99" s="13" t="str">
        <f aca="false">IF(Calc!$B99=0,"",IF(Calc!F$3=0,"Closed",IF(Calc!F99=0,"Off",TEXT(MOD(Calc!T99,1),"h:mm AM/PM")&amp;IF(Calc!T99&gt;=1," (+1)","")&amp;" - "&amp;TEXT(MOD(Calc!AA99,1),"h:mm AM/PM")&amp;IF(Calc!AA99&gt;1," (+1)",""))))</f>
        <v/>
      </c>
      <c r="D99" s="13" t="str">
        <f aca="false">IF(Calc!$B99=0,"",IF(Calc!G$3=0,"Closed",IF(Calc!G99=0,"Off",TEXT(MOD(Calc!U99,1),"h:mm AM/PM")&amp;IF(Calc!U99&gt;=1," (+1)","")&amp;" - "&amp;TEXT(MOD(Calc!AB99,1),"h:mm AM/PM")&amp;IF(Calc!AB99&gt;1," (+1)",""))))</f>
        <v/>
      </c>
      <c r="E99" s="13" t="str">
        <f aca="false">IF(Calc!$B99=0,"",IF(Calc!H$3=0,"Closed",IF(Calc!H99=0,"Off",TEXT(MOD(Calc!V99,1),"h:mm AM/PM")&amp;IF(Calc!V99&gt;=1," (+1)","")&amp;" - "&amp;TEXT(MOD(Calc!AC99,1),"h:mm AM/PM")&amp;IF(Calc!AC99&gt;1," (+1)",""))))</f>
        <v/>
      </c>
      <c r="F99" s="13" t="str">
        <f aca="false">IF(Calc!$B99=0,"",IF(Calc!I$3=0,"Closed",IF(Calc!I99=0,"Off",TEXT(MOD(Calc!W99,1),"h:mm AM/PM")&amp;IF(Calc!W99&gt;=1," (+1)","")&amp;" - "&amp;TEXT(MOD(Calc!AD99,1),"h:mm AM/PM")&amp;IF(Calc!AD99&gt;1," (+1)",""))))</f>
        <v/>
      </c>
      <c r="G99" s="13" t="str">
        <f aca="false">IF(Calc!$B99=0,"",IF(Calc!J$3=0,"Closed",IF(Calc!J99=0,"Off",TEXT(MOD(Calc!X99,1),"h:mm AM/PM")&amp;IF(Calc!X99&gt;=1," (+1)","")&amp;" - "&amp;TEXT(MOD(Calc!AE99,1),"h:mm AM/PM")&amp;IF(Calc!AE99&gt;1," (+1)",""))))</f>
        <v/>
      </c>
      <c r="H99" s="13" t="str">
        <f aca="false">IF(Calc!$B99=0,"",IF(Calc!K$3=0,"Closed",IF(Calc!K99=0,"Off",TEXT(MOD(Calc!Y99,1),"h:mm AM/PM")&amp;IF(Calc!Y99&gt;=1," (+1)","")&amp;" - "&amp;TEXT(MOD(Calc!AF99,1),"h:mm AM/PM")&amp;IF(Calc!AF99&gt;1," (+1)",""))))</f>
        <v/>
      </c>
      <c r="I99" s="13" t="str">
        <f aca="false">IF(Calc!$B99=0,"",IF(Calc!L$3=0,"Closed",IF(Calc!L99=0,"Off",TEXT(MOD(Calc!Z99,1),"h:mm AM/PM")&amp;IF(Calc!Z99&gt;=1," (+1)","")&amp;" - "&amp;TEXT(MOD(Calc!AG99,1),"h:mm AM/PM")&amp;IF(Calc!AG99&gt;1," (+1)",""))))</f>
        <v/>
      </c>
      <c r="J99" s="12" t="str">
        <f aca="false">IF(Calc!B99=0,"",(SUM(Calc!AA99:AG99)-SUM(Calc!T99:Z99))*24)</f>
        <v/>
      </c>
      <c r="K99" s="6" t="str">
        <f aca="false">IF(Calc!B99=0,"",SUM(Calc!F99:L99))</f>
        <v/>
      </c>
      <c r="L99" s="6" t="str">
        <f aca="false">IF(Calc!B99=0,"",IF(Inputs!$B$6=0,"None",CHOOSE(Calc!D99+1,"Mon","Tue","Wed","Thu","Fri","Sat","Sun")&amp;" to "&amp;CHOOSE(MOD(Calc!D99+Inputs!$B$6-1,7)+1,"Mon","Tue","Wed","Thu","Fri","Sat","Sun")))</f>
        <v/>
      </c>
    </row>
    <row r="100" customFormat="false" ht="15" hidden="false" customHeight="false" outlineLevel="0" collapsed="false">
      <c r="A100" s="6" t="str">
        <f aca="false">IF(Calc!B100=1,95,"")</f>
        <v/>
      </c>
      <c r="B100" s="6" t="str">
        <f aca="false">IF(Calc!B100=0,"",IF(Inputs!B117&lt;&gt;"",Inputs!B117,"Agent "&amp;95))</f>
        <v/>
      </c>
      <c r="C100" s="13" t="str">
        <f aca="false">IF(Calc!$B100=0,"",IF(Calc!F$3=0,"Closed",IF(Calc!F100=0,"Off",TEXT(MOD(Calc!T100,1),"h:mm AM/PM")&amp;IF(Calc!T100&gt;=1," (+1)","")&amp;" - "&amp;TEXT(MOD(Calc!AA100,1),"h:mm AM/PM")&amp;IF(Calc!AA100&gt;1," (+1)",""))))</f>
        <v/>
      </c>
      <c r="D100" s="13" t="str">
        <f aca="false">IF(Calc!$B100=0,"",IF(Calc!G$3=0,"Closed",IF(Calc!G100=0,"Off",TEXT(MOD(Calc!U100,1),"h:mm AM/PM")&amp;IF(Calc!U100&gt;=1," (+1)","")&amp;" - "&amp;TEXT(MOD(Calc!AB100,1),"h:mm AM/PM")&amp;IF(Calc!AB100&gt;1," (+1)",""))))</f>
        <v/>
      </c>
      <c r="E100" s="13" t="str">
        <f aca="false">IF(Calc!$B100=0,"",IF(Calc!H$3=0,"Closed",IF(Calc!H100=0,"Off",TEXT(MOD(Calc!V100,1),"h:mm AM/PM")&amp;IF(Calc!V100&gt;=1," (+1)","")&amp;" - "&amp;TEXT(MOD(Calc!AC100,1),"h:mm AM/PM")&amp;IF(Calc!AC100&gt;1," (+1)",""))))</f>
        <v/>
      </c>
      <c r="F100" s="13" t="str">
        <f aca="false">IF(Calc!$B100=0,"",IF(Calc!I$3=0,"Closed",IF(Calc!I100=0,"Off",TEXT(MOD(Calc!W100,1),"h:mm AM/PM")&amp;IF(Calc!W100&gt;=1," (+1)","")&amp;" - "&amp;TEXT(MOD(Calc!AD100,1),"h:mm AM/PM")&amp;IF(Calc!AD100&gt;1," (+1)",""))))</f>
        <v/>
      </c>
      <c r="G100" s="13" t="str">
        <f aca="false">IF(Calc!$B100=0,"",IF(Calc!J$3=0,"Closed",IF(Calc!J100=0,"Off",TEXT(MOD(Calc!X100,1),"h:mm AM/PM")&amp;IF(Calc!X100&gt;=1," (+1)","")&amp;" - "&amp;TEXT(MOD(Calc!AE100,1),"h:mm AM/PM")&amp;IF(Calc!AE100&gt;1," (+1)",""))))</f>
        <v/>
      </c>
      <c r="H100" s="13" t="str">
        <f aca="false">IF(Calc!$B100=0,"",IF(Calc!K$3=0,"Closed",IF(Calc!K100=0,"Off",TEXT(MOD(Calc!Y100,1),"h:mm AM/PM")&amp;IF(Calc!Y100&gt;=1," (+1)","")&amp;" - "&amp;TEXT(MOD(Calc!AF100,1),"h:mm AM/PM")&amp;IF(Calc!AF100&gt;1," (+1)",""))))</f>
        <v/>
      </c>
      <c r="I100" s="13" t="str">
        <f aca="false">IF(Calc!$B100=0,"",IF(Calc!L$3=0,"Closed",IF(Calc!L100=0,"Off",TEXT(MOD(Calc!Z100,1),"h:mm AM/PM")&amp;IF(Calc!Z100&gt;=1," (+1)","")&amp;" - "&amp;TEXT(MOD(Calc!AG100,1),"h:mm AM/PM")&amp;IF(Calc!AG100&gt;1," (+1)",""))))</f>
        <v/>
      </c>
      <c r="J100" s="12" t="str">
        <f aca="false">IF(Calc!B100=0,"",(SUM(Calc!AA100:AG100)-SUM(Calc!T100:Z100))*24)</f>
        <v/>
      </c>
      <c r="K100" s="6" t="str">
        <f aca="false">IF(Calc!B100=0,"",SUM(Calc!F100:L100))</f>
        <v/>
      </c>
      <c r="L100" s="6" t="str">
        <f aca="false">IF(Calc!B100=0,"",IF(Inputs!$B$6=0,"None",CHOOSE(Calc!D100+1,"Mon","Tue","Wed","Thu","Fri","Sat","Sun")&amp;" to "&amp;CHOOSE(MOD(Calc!D100+Inputs!$B$6-1,7)+1,"Mon","Tue","Wed","Thu","Fri","Sat","Sun")))</f>
        <v/>
      </c>
    </row>
    <row r="101" customFormat="false" ht="15" hidden="false" customHeight="false" outlineLevel="0" collapsed="false">
      <c r="A101" s="6" t="str">
        <f aca="false">IF(Calc!B101=1,96,"")</f>
        <v/>
      </c>
      <c r="B101" s="6" t="str">
        <f aca="false">IF(Calc!B101=0,"",IF(Inputs!B118&lt;&gt;"",Inputs!B118,"Agent "&amp;96))</f>
        <v/>
      </c>
      <c r="C101" s="13" t="str">
        <f aca="false">IF(Calc!$B101=0,"",IF(Calc!F$3=0,"Closed",IF(Calc!F101=0,"Off",TEXT(MOD(Calc!T101,1),"h:mm AM/PM")&amp;IF(Calc!T101&gt;=1," (+1)","")&amp;" - "&amp;TEXT(MOD(Calc!AA101,1),"h:mm AM/PM")&amp;IF(Calc!AA101&gt;1," (+1)",""))))</f>
        <v/>
      </c>
      <c r="D101" s="13" t="str">
        <f aca="false">IF(Calc!$B101=0,"",IF(Calc!G$3=0,"Closed",IF(Calc!G101=0,"Off",TEXT(MOD(Calc!U101,1),"h:mm AM/PM")&amp;IF(Calc!U101&gt;=1," (+1)","")&amp;" - "&amp;TEXT(MOD(Calc!AB101,1),"h:mm AM/PM")&amp;IF(Calc!AB101&gt;1," (+1)",""))))</f>
        <v/>
      </c>
      <c r="E101" s="13" t="str">
        <f aca="false">IF(Calc!$B101=0,"",IF(Calc!H$3=0,"Closed",IF(Calc!H101=0,"Off",TEXT(MOD(Calc!V101,1),"h:mm AM/PM")&amp;IF(Calc!V101&gt;=1," (+1)","")&amp;" - "&amp;TEXT(MOD(Calc!AC101,1),"h:mm AM/PM")&amp;IF(Calc!AC101&gt;1," (+1)",""))))</f>
        <v/>
      </c>
      <c r="F101" s="13" t="str">
        <f aca="false">IF(Calc!$B101=0,"",IF(Calc!I$3=0,"Closed",IF(Calc!I101=0,"Off",TEXT(MOD(Calc!W101,1),"h:mm AM/PM")&amp;IF(Calc!W101&gt;=1," (+1)","")&amp;" - "&amp;TEXT(MOD(Calc!AD101,1),"h:mm AM/PM")&amp;IF(Calc!AD101&gt;1," (+1)",""))))</f>
        <v/>
      </c>
      <c r="G101" s="13" t="str">
        <f aca="false">IF(Calc!$B101=0,"",IF(Calc!J$3=0,"Closed",IF(Calc!J101=0,"Off",TEXT(MOD(Calc!X101,1),"h:mm AM/PM")&amp;IF(Calc!X101&gt;=1," (+1)","")&amp;" - "&amp;TEXT(MOD(Calc!AE101,1),"h:mm AM/PM")&amp;IF(Calc!AE101&gt;1," (+1)",""))))</f>
        <v/>
      </c>
      <c r="H101" s="13" t="str">
        <f aca="false">IF(Calc!$B101=0,"",IF(Calc!K$3=0,"Closed",IF(Calc!K101=0,"Off",TEXT(MOD(Calc!Y101,1),"h:mm AM/PM")&amp;IF(Calc!Y101&gt;=1," (+1)","")&amp;" - "&amp;TEXT(MOD(Calc!AF101,1),"h:mm AM/PM")&amp;IF(Calc!AF101&gt;1," (+1)",""))))</f>
        <v/>
      </c>
      <c r="I101" s="13" t="str">
        <f aca="false">IF(Calc!$B101=0,"",IF(Calc!L$3=0,"Closed",IF(Calc!L101=0,"Off",TEXT(MOD(Calc!Z101,1),"h:mm AM/PM")&amp;IF(Calc!Z101&gt;=1," (+1)","")&amp;" - "&amp;TEXT(MOD(Calc!AG101,1),"h:mm AM/PM")&amp;IF(Calc!AG101&gt;1," (+1)",""))))</f>
        <v/>
      </c>
      <c r="J101" s="12" t="str">
        <f aca="false">IF(Calc!B101=0,"",(SUM(Calc!AA101:AG101)-SUM(Calc!T101:Z101))*24)</f>
        <v/>
      </c>
      <c r="K101" s="6" t="str">
        <f aca="false">IF(Calc!B101=0,"",SUM(Calc!F101:L101))</f>
        <v/>
      </c>
      <c r="L101" s="6" t="str">
        <f aca="false">IF(Calc!B101=0,"",IF(Inputs!$B$6=0,"None",CHOOSE(Calc!D101+1,"Mon","Tue","Wed","Thu","Fri","Sat","Sun")&amp;" to "&amp;CHOOSE(MOD(Calc!D101+Inputs!$B$6-1,7)+1,"Mon","Tue","Wed","Thu","Fri","Sat","Sun")))</f>
        <v/>
      </c>
    </row>
    <row r="102" customFormat="false" ht="15" hidden="false" customHeight="false" outlineLevel="0" collapsed="false">
      <c r="A102" s="6" t="str">
        <f aca="false">IF(Calc!B102=1,97,"")</f>
        <v/>
      </c>
      <c r="B102" s="6" t="str">
        <f aca="false">IF(Calc!B102=0,"",IF(Inputs!B119&lt;&gt;"",Inputs!B119,"Agent "&amp;97))</f>
        <v/>
      </c>
      <c r="C102" s="13" t="str">
        <f aca="false">IF(Calc!$B102=0,"",IF(Calc!F$3=0,"Closed",IF(Calc!F102=0,"Off",TEXT(MOD(Calc!T102,1),"h:mm AM/PM")&amp;IF(Calc!T102&gt;=1," (+1)","")&amp;" - "&amp;TEXT(MOD(Calc!AA102,1),"h:mm AM/PM")&amp;IF(Calc!AA102&gt;1," (+1)",""))))</f>
        <v/>
      </c>
      <c r="D102" s="13" t="str">
        <f aca="false">IF(Calc!$B102=0,"",IF(Calc!G$3=0,"Closed",IF(Calc!G102=0,"Off",TEXT(MOD(Calc!U102,1),"h:mm AM/PM")&amp;IF(Calc!U102&gt;=1," (+1)","")&amp;" - "&amp;TEXT(MOD(Calc!AB102,1),"h:mm AM/PM")&amp;IF(Calc!AB102&gt;1," (+1)",""))))</f>
        <v/>
      </c>
      <c r="E102" s="13" t="str">
        <f aca="false">IF(Calc!$B102=0,"",IF(Calc!H$3=0,"Closed",IF(Calc!H102=0,"Off",TEXT(MOD(Calc!V102,1),"h:mm AM/PM")&amp;IF(Calc!V102&gt;=1," (+1)","")&amp;" - "&amp;TEXT(MOD(Calc!AC102,1),"h:mm AM/PM")&amp;IF(Calc!AC102&gt;1," (+1)",""))))</f>
        <v/>
      </c>
      <c r="F102" s="13" t="str">
        <f aca="false">IF(Calc!$B102=0,"",IF(Calc!I$3=0,"Closed",IF(Calc!I102=0,"Off",TEXT(MOD(Calc!W102,1),"h:mm AM/PM")&amp;IF(Calc!W102&gt;=1," (+1)","")&amp;" - "&amp;TEXT(MOD(Calc!AD102,1),"h:mm AM/PM")&amp;IF(Calc!AD102&gt;1," (+1)",""))))</f>
        <v/>
      </c>
      <c r="G102" s="13" t="str">
        <f aca="false">IF(Calc!$B102=0,"",IF(Calc!J$3=0,"Closed",IF(Calc!J102=0,"Off",TEXT(MOD(Calc!X102,1),"h:mm AM/PM")&amp;IF(Calc!X102&gt;=1," (+1)","")&amp;" - "&amp;TEXT(MOD(Calc!AE102,1),"h:mm AM/PM")&amp;IF(Calc!AE102&gt;1," (+1)",""))))</f>
        <v/>
      </c>
      <c r="H102" s="13" t="str">
        <f aca="false">IF(Calc!$B102=0,"",IF(Calc!K$3=0,"Closed",IF(Calc!K102=0,"Off",TEXT(MOD(Calc!Y102,1),"h:mm AM/PM")&amp;IF(Calc!Y102&gt;=1," (+1)","")&amp;" - "&amp;TEXT(MOD(Calc!AF102,1),"h:mm AM/PM")&amp;IF(Calc!AF102&gt;1," (+1)",""))))</f>
        <v/>
      </c>
      <c r="I102" s="13" t="str">
        <f aca="false">IF(Calc!$B102=0,"",IF(Calc!L$3=0,"Closed",IF(Calc!L102=0,"Off",TEXT(MOD(Calc!Z102,1),"h:mm AM/PM")&amp;IF(Calc!Z102&gt;=1," (+1)","")&amp;" - "&amp;TEXT(MOD(Calc!AG102,1),"h:mm AM/PM")&amp;IF(Calc!AG102&gt;1," (+1)",""))))</f>
        <v/>
      </c>
      <c r="J102" s="12" t="str">
        <f aca="false">IF(Calc!B102=0,"",(SUM(Calc!AA102:AG102)-SUM(Calc!T102:Z102))*24)</f>
        <v/>
      </c>
      <c r="K102" s="6" t="str">
        <f aca="false">IF(Calc!B102=0,"",SUM(Calc!F102:L102))</f>
        <v/>
      </c>
      <c r="L102" s="6" t="str">
        <f aca="false">IF(Calc!B102=0,"",IF(Inputs!$B$6=0,"None",CHOOSE(Calc!D102+1,"Mon","Tue","Wed","Thu","Fri","Sat","Sun")&amp;" to "&amp;CHOOSE(MOD(Calc!D102+Inputs!$B$6-1,7)+1,"Mon","Tue","Wed","Thu","Fri","Sat","Sun")))</f>
        <v/>
      </c>
    </row>
    <row r="103" customFormat="false" ht="15" hidden="false" customHeight="false" outlineLevel="0" collapsed="false">
      <c r="A103" s="6" t="str">
        <f aca="false">IF(Calc!B103=1,98,"")</f>
        <v/>
      </c>
      <c r="B103" s="6" t="str">
        <f aca="false">IF(Calc!B103=0,"",IF(Inputs!B120&lt;&gt;"",Inputs!B120,"Agent "&amp;98))</f>
        <v/>
      </c>
      <c r="C103" s="13" t="str">
        <f aca="false">IF(Calc!$B103=0,"",IF(Calc!F$3=0,"Closed",IF(Calc!F103=0,"Off",TEXT(MOD(Calc!T103,1),"h:mm AM/PM")&amp;IF(Calc!T103&gt;=1," (+1)","")&amp;" - "&amp;TEXT(MOD(Calc!AA103,1),"h:mm AM/PM")&amp;IF(Calc!AA103&gt;1," (+1)",""))))</f>
        <v/>
      </c>
      <c r="D103" s="13" t="str">
        <f aca="false">IF(Calc!$B103=0,"",IF(Calc!G$3=0,"Closed",IF(Calc!G103=0,"Off",TEXT(MOD(Calc!U103,1),"h:mm AM/PM")&amp;IF(Calc!U103&gt;=1," (+1)","")&amp;" - "&amp;TEXT(MOD(Calc!AB103,1),"h:mm AM/PM")&amp;IF(Calc!AB103&gt;1," (+1)",""))))</f>
        <v/>
      </c>
      <c r="E103" s="13" t="str">
        <f aca="false">IF(Calc!$B103=0,"",IF(Calc!H$3=0,"Closed",IF(Calc!H103=0,"Off",TEXT(MOD(Calc!V103,1),"h:mm AM/PM")&amp;IF(Calc!V103&gt;=1," (+1)","")&amp;" - "&amp;TEXT(MOD(Calc!AC103,1),"h:mm AM/PM")&amp;IF(Calc!AC103&gt;1," (+1)",""))))</f>
        <v/>
      </c>
      <c r="F103" s="13" t="str">
        <f aca="false">IF(Calc!$B103=0,"",IF(Calc!I$3=0,"Closed",IF(Calc!I103=0,"Off",TEXT(MOD(Calc!W103,1),"h:mm AM/PM")&amp;IF(Calc!W103&gt;=1," (+1)","")&amp;" - "&amp;TEXT(MOD(Calc!AD103,1),"h:mm AM/PM")&amp;IF(Calc!AD103&gt;1," (+1)",""))))</f>
        <v/>
      </c>
      <c r="G103" s="13" t="str">
        <f aca="false">IF(Calc!$B103=0,"",IF(Calc!J$3=0,"Closed",IF(Calc!J103=0,"Off",TEXT(MOD(Calc!X103,1),"h:mm AM/PM")&amp;IF(Calc!X103&gt;=1," (+1)","")&amp;" - "&amp;TEXT(MOD(Calc!AE103,1),"h:mm AM/PM")&amp;IF(Calc!AE103&gt;1," (+1)",""))))</f>
        <v/>
      </c>
      <c r="H103" s="13" t="str">
        <f aca="false">IF(Calc!$B103=0,"",IF(Calc!K$3=0,"Closed",IF(Calc!K103=0,"Off",TEXT(MOD(Calc!Y103,1),"h:mm AM/PM")&amp;IF(Calc!Y103&gt;=1," (+1)","")&amp;" - "&amp;TEXT(MOD(Calc!AF103,1),"h:mm AM/PM")&amp;IF(Calc!AF103&gt;1," (+1)",""))))</f>
        <v/>
      </c>
      <c r="I103" s="13" t="str">
        <f aca="false">IF(Calc!$B103=0,"",IF(Calc!L$3=0,"Closed",IF(Calc!L103=0,"Off",TEXT(MOD(Calc!Z103,1),"h:mm AM/PM")&amp;IF(Calc!Z103&gt;=1," (+1)","")&amp;" - "&amp;TEXT(MOD(Calc!AG103,1),"h:mm AM/PM")&amp;IF(Calc!AG103&gt;1," (+1)",""))))</f>
        <v/>
      </c>
      <c r="J103" s="12" t="str">
        <f aca="false">IF(Calc!B103=0,"",(SUM(Calc!AA103:AG103)-SUM(Calc!T103:Z103))*24)</f>
        <v/>
      </c>
      <c r="K103" s="6" t="str">
        <f aca="false">IF(Calc!B103=0,"",SUM(Calc!F103:L103))</f>
        <v/>
      </c>
      <c r="L103" s="6" t="str">
        <f aca="false">IF(Calc!B103=0,"",IF(Inputs!$B$6=0,"None",CHOOSE(Calc!D103+1,"Mon","Tue","Wed","Thu","Fri","Sat","Sun")&amp;" to "&amp;CHOOSE(MOD(Calc!D103+Inputs!$B$6-1,7)+1,"Mon","Tue","Wed","Thu","Fri","Sat","Sun")))</f>
        <v/>
      </c>
    </row>
    <row r="104" customFormat="false" ht="15" hidden="false" customHeight="false" outlineLevel="0" collapsed="false">
      <c r="A104" s="6" t="str">
        <f aca="false">IF(Calc!B104=1,99,"")</f>
        <v/>
      </c>
      <c r="B104" s="6" t="str">
        <f aca="false">IF(Calc!B104=0,"",IF(Inputs!B121&lt;&gt;"",Inputs!B121,"Agent "&amp;99))</f>
        <v/>
      </c>
      <c r="C104" s="13" t="str">
        <f aca="false">IF(Calc!$B104=0,"",IF(Calc!F$3=0,"Closed",IF(Calc!F104=0,"Off",TEXT(MOD(Calc!T104,1),"h:mm AM/PM")&amp;IF(Calc!T104&gt;=1," (+1)","")&amp;" - "&amp;TEXT(MOD(Calc!AA104,1),"h:mm AM/PM")&amp;IF(Calc!AA104&gt;1," (+1)",""))))</f>
        <v/>
      </c>
      <c r="D104" s="13" t="str">
        <f aca="false">IF(Calc!$B104=0,"",IF(Calc!G$3=0,"Closed",IF(Calc!G104=0,"Off",TEXT(MOD(Calc!U104,1),"h:mm AM/PM")&amp;IF(Calc!U104&gt;=1," (+1)","")&amp;" - "&amp;TEXT(MOD(Calc!AB104,1),"h:mm AM/PM")&amp;IF(Calc!AB104&gt;1," (+1)",""))))</f>
        <v/>
      </c>
      <c r="E104" s="13" t="str">
        <f aca="false">IF(Calc!$B104=0,"",IF(Calc!H$3=0,"Closed",IF(Calc!H104=0,"Off",TEXT(MOD(Calc!V104,1),"h:mm AM/PM")&amp;IF(Calc!V104&gt;=1," (+1)","")&amp;" - "&amp;TEXT(MOD(Calc!AC104,1),"h:mm AM/PM")&amp;IF(Calc!AC104&gt;1," (+1)",""))))</f>
        <v/>
      </c>
      <c r="F104" s="13" t="str">
        <f aca="false">IF(Calc!$B104=0,"",IF(Calc!I$3=0,"Closed",IF(Calc!I104=0,"Off",TEXT(MOD(Calc!W104,1),"h:mm AM/PM")&amp;IF(Calc!W104&gt;=1," (+1)","")&amp;" - "&amp;TEXT(MOD(Calc!AD104,1),"h:mm AM/PM")&amp;IF(Calc!AD104&gt;1," (+1)",""))))</f>
        <v/>
      </c>
      <c r="G104" s="13" t="str">
        <f aca="false">IF(Calc!$B104=0,"",IF(Calc!J$3=0,"Closed",IF(Calc!J104=0,"Off",TEXT(MOD(Calc!X104,1),"h:mm AM/PM")&amp;IF(Calc!X104&gt;=1," (+1)","")&amp;" - "&amp;TEXT(MOD(Calc!AE104,1),"h:mm AM/PM")&amp;IF(Calc!AE104&gt;1," (+1)",""))))</f>
        <v/>
      </c>
      <c r="H104" s="13" t="str">
        <f aca="false">IF(Calc!$B104=0,"",IF(Calc!K$3=0,"Closed",IF(Calc!K104=0,"Off",TEXT(MOD(Calc!Y104,1),"h:mm AM/PM")&amp;IF(Calc!Y104&gt;=1," (+1)","")&amp;" - "&amp;TEXT(MOD(Calc!AF104,1),"h:mm AM/PM")&amp;IF(Calc!AF104&gt;1," (+1)",""))))</f>
        <v/>
      </c>
      <c r="I104" s="13" t="str">
        <f aca="false">IF(Calc!$B104=0,"",IF(Calc!L$3=0,"Closed",IF(Calc!L104=0,"Off",TEXT(MOD(Calc!Z104,1),"h:mm AM/PM")&amp;IF(Calc!Z104&gt;=1," (+1)","")&amp;" - "&amp;TEXT(MOD(Calc!AG104,1),"h:mm AM/PM")&amp;IF(Calc!AG104&gt;1," (+1)",""))))</f>
        <v/>
      </c>
      <c r="J104" s="12" t="str">
        <f aca="false">IF(Calc!B104=0,"",(SUM(Calc!AA104:AG104)-SUM(Calc!T104:Z104))*24)</f>
        <v/>
      </c>
      <c r="K104" s="6" t="str">
        <f aca="false">IF(Calc!B104=0,"",SUM(Calc!F104:L104))</f>
        <v/>
      </c>
      <c r="L104" s="6" t="str">
        <f aca="false">IF(Calc!B104=0,"",IF(Inputs!$B$6=0,"None",CHOOSE(Calc!D104+1,"Mon","Tue","Wed","Thu","Fri","Sat","Sun")&amp;" to "&amp;CHOOSE(MOD(Calc!D104+Inputs!$B$6-1,7)+1,"Mon","Tue","Wed","Thu","Fri","Sat","Sun")))</f>
        <v/>
      </c>
    </row>
    <row r="105" customFormat="false" ht="15" hidden="false" customHeight="false" outlineLevel="0" collapsed="false">
      <c r="A105" s="6" t="str">
        <f aca="false">IF(Calc!B105=1,100,"")</f>
        <v/>
      </c>
      <c r="B105" s="6" t="str">
        <f aca="false">IF(Calc!B105=0,"",IF(Inputs!B122&lt;&gt;"",Inputs!B122,"Agent "&amp;100))</f>
        <v/>
      </c>
      <c r="C105" s="13" t="str">
        <f aca="false">IF(Calc!$B105=0,"",IF(Calc!F$3=0,"Closed",IF(Calc!F105=0,"Off",TEXT(MOD(Calc!T105,1),"h:mm AM/PM")&amp;IF(Calc!T105&gt;=1," (+1)","")&amp;" - "&amp;TEXT(MOD(Calc!AA105,1),"h:mm AM/PM")&amp;IF(Calc!AA105&gt;1," (+1)",""))))</f>
        <v/>
      </c>
      <c r="D105" s="13" t="str">
        <f aca="false">IF(Calc!$B105=0,"",IF(Calc!G$3=0,"Closed",IF(Calc!G105=0,"Off",TEXT(MOD(Calc!U105,1),"h:mm AM/PM")&amp;IF(Calc!U105&gt;=1," (+1)","")&amp;" - "&amp;TEXT(MOD(Calc!AB105,1),"h:mm AM/PM")&amp;IF(Calc!AB105&gt;1," (+1)",""))))</f>
        <v/>
      </c>
      <c r="E105" s="13" t="str">
        <f aca="false">IF(Calc!$B105=0,"",IF(Calc!H$3=0,"Closed",IF(Calc!H105=0,"Off",TEXT(MOD(Calc!V105,1),"h:mm AM/PM")&amp;IF(Calc!V105&gt;=1," (+1)","")&amp;" - "&amp;TEXT(MOD(Calc!AC105,1),"h:mm AM/PM")&amp;IF(Calc!AC105&gt;1," (+1)",""))))</f>
        <v/>
      </c>
      <c r="F105" s="13" t="str">
        <f aca="false">IF(Calc!$B105=0,"",IF(Calc!I$3=0,"Closed",IF(Calc!I105=0,"Off",TEXT(MOD(Calc!W105,1),"h:mm AM/PM")&amp;IF(Calc!W105&gt;=1," (+1)","")&amp;" - "&amp;TEXT(MOD(Calc!AD105,1),"h:mm AM/PM")&amp;IF(Calc!AD105&gt;1," (+1)",""))))</f>
        <v/>
      </c>
      <c r="G105" s="13" t="str">
        <f aca="false">IF(Calc!$B105=0,"",IF(Calc!J$3=0,"Closed",IF(Calc!J105=0,"Off",TEXT(MOD(Calc!X105,1),"h:mm AM/PM")&amp;IF(Calc!X105&gt;=1," (+1)","")&amp;" - "&amp;TEXT(MOD(Calc!AE105,1),"h:mm AM/PM")&amp;IF(Calc!AE105&gt;1," (+1)",""))))</f>
        <v/>
      </c>
      <c r="H105" s="13" t="str">
        <f aca="false">IF(Calc!$B105=0,"",IF(Calc!K$3=0,"Closed",IF(Calc!K105=0,"Off",TEXT(MOD(Calc!Y105,1),"h:mm AM/PM")&amp;IF(Calc!Y105&gt;=1," (+1)","")&amp;" - "&amp;TEXT(MOD(Calc!AF105,1),"h:mm AM/PM")&amp;IF(Calc!AF105&gt;1," (+1)",""))))</f>
        <v/>
      </c>
      <c r="I105" s="13" t="str">
        <f aca="false">IF(Calc!$B105=0,"",IF(Calc!L$3=0,"Closed",IF(Calc!L105=0,"Off",TEXT(MOD(Calc!Z105,1),"h:mm AM/PM")&amp;IF(Calc!Z105&gt;=1," (+1)","")&amp;" - "&amp;TEXT(MOD(Calc!AG105,1),"h:mm AM/PM")&amp;IF(Calc!AG105&gt;1," (+1)",""))))</f>
        <v/>
      </c>
      <c r="J105" s="12" t="str">
        <f aca="false">IF(Calc!B105=0,"",(SUM(Calc!AA105:AG105)-SUM(Calc!T105:Z105))*24)</f>
        <v/>
      </c>
      <c r="K105" s="6" t="str">
        <f aca="false">IF(Calc!B105=0,"",SUM(Calc!F105:L105))</f>
        <v/>
      </c>
      <c r="L105" s="6" t="str">
        <f aca="false">IF(Calc!B105=0,"",IF(Inputs!$B$6=0,"None",CHOOSE(Calc!D105+1,"Mon","Tue","Wed","Thu","Fri","Sat","Sun")&amp;" to "&amp;CHOOSE(MOD(Calc!D105+Inputs!$B$6-1,7)+1,"Mon","Tue","Wed","Thu","Fri","Sat","Sun")))</f>
        <v/>
      </c>
    </row>
  </sheetData>
  <conditionalFormatting sqref="C6:I105">
    <cfRule type="cellIs" priority="2" operator="equal" aboveAverage="0" equalAverage="0" bottom="0" percent="0" rank="0" text="" dxfId="0">
      <formula>"Off"</formula>
    </cfRule>
    <cfRule type="cellIs" priority="3" operator="equal" aboveAverage="0" equalAverage="0" bottom="0" percent="0" rank="0" text="" dxfId="1">
      <formula>"Closed"</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8" min="2" style="0" width="10"/>
  </cols>
  <sheetData>
    <row r="1" customFormat="false" ht="17.35" hidden="false" customHeight="false" outlineLevel="0" collapsed="false">
      <c r="A1" s="1" t="s">
        <v>48</v>
      </c>
    </row>
    <row r="2" customFormat="false" ht="15" hidden="false" customHeight="false" outlineLevel="0" collapsed="false">
      <c r="A2" s="3" t="s">
        <v>49</v>
      </c>
    </row>
    <row r="5" customFormat="false" ht="15" hidden="false" customHeight="false" outlineLevel="0" collapsed="false">
      <c r="A5" s="10" t="s">
        <v>50</v>
      </c>
      <c r="B5" s="10" t="s">
        <v>27</v>
      </c>
      <c r="C5" s="10" t="s">
        <v>28</v>
      </c>
      <c r="D5" s="10" t="s">
        <v>29</v>
      </c>
      <c r="E5" s="10" t="s">
        <v>30</v>
      </c>
      <c r="F5" s="10" t="s">
        <v>31</v>
      </c>
      <c r="G5" s="10" t="s">
        <v>32</v>
      </c>
      <c r="H5" s="10" t="s">
        <v>33</v>
      </c>
      <c r="J5" s="14" t="s">
        <v>51</v>
      </c>
    </row>
    <row r="6" customFormat="false" ht="15" hidden="false" customHeight="false" outlineLevel="0" collapsed="false">
      <c r="A6" s="15" t="n">
        <f aca="false">0/1440</f>
        <v>0</v>
      </c>
      <c r="B6" s="13" t="str">
        <f aca="false">IF(OR(AND(Calc!F$3&gt;0,$A6&gt;=Calc!F$1,$A6&lt;Calc!F$2),AND(Calc!L$3&gt;0,$J6&gt;=Calc!L$1,$J6&lt;Calc!L$2)),SUMPRODUCT((Calc!T$6:T$105&lt;=$A6)*(Calc!AA$6:AA$105&gt;$A6))+SUMPRODUCT((Calc!Z$6:Z$105&lt;=$J6)*(Calc!AG$6:AG$105&gt;$J6)),"")</f>
        <v/>
      </c>
      <c r="C6" s="13" t="str">
        <f aca="false">IF(OR(AND(Calc!G$3&gt;0,$A6&gt;=Calc!G$1,$A6&lt;Calc!G$2),AND(Calc!F$3&gt;0,$J6&gt;=Calc!F$1,$J6&lt;Calc!F$2)),SUMPRODUCT((Calc!U$6:U$105&lt;=$A6)*(Calc!AB$6:AB$105&gt;$A6))+SUMPRODUCT((Calc!T$6:T$105&lt;=$J6)*(Calc!AA$6:AA$105&gt;$J6)),"")</f>
        <v/>
      </c>
      <c r="D6" s="13" t="str">
        <f aca="false">IF(OR(AND(Calc!H$3&gt;0,$A6&gt;=Calc!H$1,$A6&lt;Calc!H$2),AND(Calc!G$3&gt;0,$J6&gt;=Calc!G$1,$J6&lt;Calc!G$2)),SUMPRODUCT((Calc!V$6:V$105&lt;=$A6)*(Calc!AC$6:AC$105&gt;$A6))+SUMPRODUCT((Calc!U$6:U$105&lt;=$J6)*(Calc!AB$6:AB$105&gt;$J6)),"")</f>
        <v/>
      </c>
      <c r="E6" s="13" t="str">
        <f aca="false">IF(OR(AND(Calc!I$3&gt;0,$A6&gt;=Calc!I$1,$A6&lt;Calc!I$2),AND(Calc!H$3&gt;0,$J6&gt;=Calc!H$1,$J6&lt;Calc!H$2)),SUMPRODUCT((Calc!W$6:W$105&lt;=$A6)*(Calc!AD$6:AD$105&gt;$A6))+SUMPRODUCT((Calc!V$6:V$105&lt;=$J6)*(Calc!AC$6:AC$105&gt;$J6)),"")</f>
        <v/>
      </c>
      <c r="F6" s="13" t="str">
        <f aca="false">IF(OR(AND(Calc!J$3&gt;0,$A6&gt;=Calc!J$1,$A6&lt;Calc!J$2),AND(Calc!I$3&gt;0,$J6&gt;=Calc!I$1,$J6&lt;Calc!I$2)),SUMPRODUCT((Calc!X$6:X$105&lt;=$A6)*(Calc!AE$6:AE$105&gt;$A6))+SUMPRODUCT((Calc!W$6:W$105&lt;=$J6)*(Calc!AD$6:AD$105&gt;$J6)),"")</f>
        <v/>
      </c>
      <c r="G6" s="13" t="str">
        <f aca="false">IF(OR(AND(Calc!K$3&gt;0,$A6&gt;=Calc!K$1,$A6&lt;Calc!K$2),AND(Calc!J$3&gt;0,$J6&gt;=Calc!J$1,$J6&lt;Calc!J$2)),SUMPRODUCT((Calc!Y$6:Y$105&lt;=$A6)*(Calc!AF$6:AF$105&gt;$A6))+SUMPRODUCT((Calc!X$6:X$105&lt;=$J6)*(Calc!AE$6:AE$105&gt;$J6)),"")</f>
        <v/>
      </c>
      <c r="H6" s="13" t="str">
        <f aca="false">IF(OR(AND(Calc!L$3&gt;0,$A6&gt;=Calc!L$1,$A6&lt;Calc!L$2),AND(Calc!K$3&gt;0,$J6&gt;=Calc!K$1,$J6&lt;Calc!K$2)),SUMPRODUCT((Calc!Z$6:Z$105&lt;=$A6)*(Calc!AG$6:AG$105&gt;$A6))+SUMPRODUCT((Calc!Y$6:Y$105&lt;=$J6)*(Calc!AF$6:AF$105&gt;$J6)),"")</f>
        <v/>
      </c>
      <c r="J6" s="14" t="n">
        <f aca="false">1440/1440</f>
        <v>1</v>
      </c>
    </row>
    <row r="7" customFormat="false" ht="15" hidden="false" customHeight="false" outlineLevel="0" collapsed="false">
      <c r="A7" s="15" t="n">
        <f aca="false">30/1440</f>
        <v>0.0208333333333333</v>
      </c>
      <c r="B7" s="13" t="str">
        <f aca="false">IF(OR(AND(Calc!F$3&gt;0,$A7&gt;=Calc!F$1,$A7&lt;Calc!F$2),AND(Calc!L$3&gt;0,$J7&gt;=Calc!L$1,$J7&lt;Calc!L$2)),SUMPRODUCT((Calc!T$6:T$105&lt;=$A7)*(Calc!AA$6:AA$105&gt;$A7))+SUMPRODUCT((Calc!Z$6:Z$105&lt;=$J7)*(Calc!AG$6:AG$105&gt;$J7)),"")</f>
        <v/>
      </c>
      <c r="C7" s="13" t="str">
        <f aca="false">IF(OR(AND(Calc!G$3&gt;0,$A7&gt;=Calc!G$1,$A7&lt;Calc!G$2),AND(Calc!F$3&gt;0,$J7&gt;=Calc!F$1,$J7&lt;Calc!F$2)),SUMPRODUCT((Calc!U$6:U$105&lt;=$A7)*(Calc!AB$6:AB$105&gt;$A7))+SUMPRODUCT((Calc!T$6:T$105&lt;=$J7)*(Calc!AA$6:AA$105&gt;$J7)),"")</f>
        <v/>
      </c>
      <c r="D7" s="13" t="str">
        <f aca="false">IF(OR(AND(Calc!H$3&gt;0,$A7&gt;=Calc!H$1,$A7&lt;Calc!H$2),AND(Calc!G$3&gt;0,$J7&gt;=Calc!G$1,$J7&lt;Calc!G$2)),SUMPRODUCT((Calc!V$6:V$105&lt;=$A7)*(Calc!AC$6:AC$105&gt;$A7))+SUMPRODUCT((Calc!U$6:U$105&lt;=$J7)*(Calc!AB$6:AB$105&gt;$J7)),"")</f>
        <v/>
      </c>
      <c r="E7" s="13" t="str">
        <f aca="false">IF(OR(AND(Calc!I$3&gt;0,$A7&gt;=Calc!I$1,$A7&lt;Calc!I$2),AND(Calc!H$3&gt;0,$J7&gt;=Calc!H$1,$J7&lt;Calc!H$2)),SUMPRODUCT((Calc!W$6:W$105&lt;=$A7)*(Calc!AD$6:AD$105&gt;$A7))+SUMPRODUCT((Calc!V$6:V$105&lt;=$J7)*(Calc!AC$6:AC$105&gt;$J7)),"")</f>
        <v/>
      </c>
      <c r="F7" s="13" t="str">
        <f aca="false">IF(OR(AND(Calc!J$3&gt;0,$A7&gt;=Calc!J$1,$A7&lt;Calc!J$2),AND(Calc!I$3&gt;0,$J7&gt;=Calc!I$1,$J7&lt;Calc!I$2)),SUMPRODUCT((Calc!X$6:X$105&lt;=$A7)*(Calc!AE$6:AE$105&gt;$A7))+SUMPRODUCT((Calc!W$6:W$105&lt;=$J7)*(Calc!AD$6:AD$105&gt;$J7)),"")</f>
        <v/>
      </c>
      <c r="G7" s="13" t="str">
        <f aca="false">IF(OR(AND(Calc!K$3&gt;0,$A7&gt;=Calc!K$1,$A7&lt;Calc!K$2),AND(Calc!J$3&gt;0,$J7&gt;=Calc!J$1,$J7&lt;Calc!J$2)),SUMPRODUCT((Calc!Y$6:Y$105&lt;=$A7)*(Calc!AF$6:AF$105&gt;$A7))+SUMPRODUCT((Calc!X$6:X$105&lt;=$J7)*(Calc!AE$6:AE$105&gt;$J7)),"")</f>
        <v/>
      </c>
      <c r="H7" s="13" t="str">
        <f aca="false">IF(OR(AND(Calc!L$3&gt;0,$A7&gt;=Calc!L$1,$A7&lt;Calc!L$2),AND(Calc!K$3&gt;0,$J7&gt;=Calc!K$1,$J7&lt;Calc!K$2)),SUMPRODUCT((Calc!Z$6:Z$105&lt;=$A7)*(Calc!AG$6:AG$105&gt;$A7))+SUMPRODUCT((Calc!Y$6:Y$105&lt;=$J7)*(Calc!AF$6:AF$105&gt;$J7)),"")</f>
        <v/>
      </c>
      <c r="J7" s="14" t="n">
        <f aca="false">1470/1440</f>
        <v>1.02083333333333</v>
      </c>
    </row>
    <row r="8" customFormat="false" ht="15" hidden="false" customHeight="false" outlineLevel="0" collapsed="false">
      <c r="A8" s="15" t="n">
        <f aca="false">60/1440</f>
        <v>0.0416666666666667</v>
      </c>
      <c r="B8" s="13" t="str">
        <f aca="false">IF(OR(AND(Calc!F$3&gt;0,$A8&gt;=Calc!F$1,$A8&lt;Calc!F$2),AND(Calc!L$3&gt;0,$J8&gt;=Calc!L$1,$J8&lt;Calc!L$2)),SUMPRODUCT((Calc!T$6:T$105&lt;=$A8)*(Calc!AA$6:AA$105&gt;$A8))+SUMPRODUCT((Calc!Z$6:Z$105&lt;=$J8)*(Calc!AG$6:AG$105&gt;$J8)),"")</f>
        <v/>
      </c>
      <c r="C8" s="13" t="str">
        <f aca="false">IF(OR(AND(Calc!G$3&gt;0,$A8&gt;=Calc!G$1,$A8&lt;Calc!G$2),AND(Calc!F$3&gt;0,$J8&gt;=Calc!F$1,$J8&lt;Calc!F$2)),SUMPRODUCT((Calc!U$6:U$105&lt;=$A8)*(Calc!AB$6:AB$105&gt;$A8))+SUMPRODUCT((Calc!T$6:T$105&lt;=$J8)*(Calc!AA$6:AA$105&gt;$J8)),"")</f>
        <v/>
      </c>
      <c r="D8" s="13" t="str">
        <f aca="false">IF(OR(AND(Calc!H$3&gt;0,$A8&gt;=Calc!H$1,$A8&lt;Calc!H$2),AND(Calc!G$3&gt;0,$J8&gt;=Calc!G$1,$J8&lt;Calc!G$2)),SUMPRODUCT((Calc!V$6:V$105&lt;=$A8)*(Calc!AC$6:AC$105&gt;$A8))+SUMPRODUCT((Calc!U$6:U$105&lt;=$J8)*(Calc!AB$6:AB$105&gt;$J8)),"")</f>
        <v/>
      </c>
      <c r="E8" s="13" t="str">
        <f aca="false">IF(OR(AND(Calc!I$3&gt;0,$A8&gt;=Calc!I$1,$A8&lt;Calc!I$2),AND(Calc!H$3&gt;0,$J8&gt;=Calc!H$1,$J8&lt;Calc!H$2)),SUMPRODUCT((Calc!W$6:W$105&lt;=$A8)*(Calc!AD$6:AD$105&gt;$A8))+SUMPRODUCT((Calc!V$6:V$105&lt;=$J8)*(Calc!AC$6:AC$105&gt;$J8)),"")</f>
        <v/>
      </c>
      <c r="F8" s="13" t="str">
        <f aca="false">IF(OR(AND(Calc!J$3&gt;0,$A8&gt;=Calc!J$1,$A8&lt;Calc!J$2),AND(Calc!I$3&gt;0,$J8&gt;=Calc!I$1,$J8&lt;Calc!I$2)),SUMPRODUCT((Calc!X$6:X$105&lt;=$A8)*(Calc!AE$6:AE$105&gt;$A8))+SUMPRODUCT((Calc!W$6:W$105&lt;=$J8)*(Calc!AD$6:AD$105&gt;$J8)),"")</f>
        <v/>
      </c>
      <c r="G8" s="13" t="str">
        <f aca="false">IF(OR(AND(Calc!K$3&gt;0,$A8&gt;=Calc!K$1,$A8&lt;Calc!K$2),AND(Calc!J$3&gt;0,$J8&gt;=Calc!J$1,$J8&lt;Calc!J$2)),SUMPRODUCT((Calc!Y$6:Y$105&lt;=$A8)*(Calc!AF$6:AF$105&gt;$A8))+SUMPRODUCT((Calc!X$6:X$105&lt;=$J8)*(Calc!AE$6:AE$105&gt;$J8)),"")</f>
        <v/>
      </c>
      <c r="H8" s="13" t="str">
        <f aca="false">IF(OR(AND(Calc!L$3&gt;0,$A8&gt;=Calc!L$1,$A8&lt;Calc!L$2),AND(Calc!K$3&gt;0,$J8&gt;=Calc!K$1,$J8&lt;Calc!K$2)),SUMPRODUCT((Calc!Z$6:Z$105&lt;=$A8)*(Calc!AG$6:AG$105&gt;$A8))+SUMPRODUCT((Calc!Y$6:Y$105&lt;=$J8)*(Calc!AF$6:AF$105&gt;$J8)),"")</f>
        <v/>
      </c>
      <c r="J8" s="14" t="n">
        <f aca="false">1500/1440</f>
        <v>1.04166666666667</v>
      </c>
    </row>
    <row r="9" customFormat="false" ht="15" hidden="false" customHeight="false" outlineLevel="0" collapsed="false">
      <c r="A9" s="15" t="n">
        <f aca="false">90/1440</f>
        <v>0.0625</v>
      </c>
      <c r="B9" s="13" t="str">
        <f aca="false">IF(OR(AND(Calc!F$3&gt;0,$A9&gt;=Calc!F$1,$A9&lt;Calc!F$2),AND(Calc!L$3&gt;0,$J9&gt;=Calc!L$1,$J9&lt;Calc!L$2)),SUMPRODUCT((Calc!T$6:T$105&lt;=$A9)*(Calc!AA$6:AA$105&gt;$A9))+SUMPRODUCT((Calc!Z$6:Z$105&lt;=$J9)*(Calc!AG$6:AG$105&gt;$J9)),"")</f>
        <v/>
      </c>
      <c r="C9" s="13" t="str">
        <f aca="false">IF(OR(AND(Calc!G$3&gt;0,$A9&gt;=Calc!G$1,$A9&lt;Calc!G$2),AND(Calc!F$3&gt;0,$J9&gt;=Calc!F$1,$J9&lt;Calc!F$2)),SUMPRODUCT((Calc!U$6:U$105&lt;=$A9)*(Calc!AB$6:AB$105&gt;$A9))+SUMPRODUCT((Calc!T$6:T$105&lt;=$J9)*(Calc!AA$6:AA$105&gt;$J9)),"")</f>
        <v/>
      </c>
      <c r="D9" s="13" t="str">
        <f aca="false">IF(OR(AND(Calc!H$3&gt;0,$A9&gt;=Calc!H$1,$A9&lt;Calc!H$2),AND(Calc!G$3&gt;0,$J9&gt;=Calc!G$1,$J9&lt;Calc!G$2)),SUMPRODUCT((Calc!V$6:V$105&lt;=$A9)*(Calc!AC$6:AC$105&gt;$A9))+SUMPRODUCT((Calc!U$6:U$105&lt;=$J9)*(Calc!AB$6:AB$105&gt;$J9)),"")</f>
        <v/>
      </c>
      <c r="E9" s="13" t="str">
        <f aca="false">IF(OR(AND(Calc!I$3&gt;0,$A9&gt;=Calc!I$1,$A9&lt;Calc!I$2),AND(Calc!H$3&gt;0,$J9&gt;=Calc!H$1,$J9&lt;Calc!H$2)),SUMPRODUCT((Calc!W$6:W$105&lt;=$A9)*(Calc!AD$6:AD$105&gt;$A9))+SUMPRODUCT((Calc!V$6:V$105&lt;=$J9)*(Calc!AC$6:AC$105&gt;$J9)),"")</f>
        <v/>
      </c>
      <c r="F9" s="13" t="str">
        <f aca="false">IF(OR(AND(Calc!J$3&gt;0,$A9&gt;=Calc!J$1,$A9&lt;Calc!J$2),AND(Calc!I$3&gt;0,$J9&gt;=Calc!I$1,$J9&lt;Calc!I$2)),SUMPRODUCT((Calc!X$6:X$105&lt;=$A9)*(Calc!AE$6:AE$105&gt;$A9))+SUMPRODUCT((Calc!W$6:W$105&lt;=$J9)*(Calc!AD$6:AD$105&gt;$J9)),"")</f>
        <v/>
      </c>
      <c r="G9" s="13" t="str">
        <f aca="false">IF(OR(AND(Calc!K$3&gt;0,$A9&gt;=Calc!K$1,$A9&lt;Calc!K$2),AND(Calc!J$3&gt;0,$J9&gt;=Calc!J$1,$J9&lt;Calc!J$2)),SUMPRODUCT((Calc!Y$6:Y$105&lt;=$A9)*(Calc!AF$6:AF$105&gt;$A9))+SUMPRODUCT((Calc!X$6:X$105&lt;=$J9)*(Calc!AE$6:AE$105&gt;$J9)),"")</f>
        <v/>
      </c>
      <c r="H9" s="13" t="str">
        <f aca="false">IF(OR(AND(Calc!L$3&gt;0,$A9&gt;=Calc!L$1,$A9&lt;Calc!L$2),AND(Calc!K$3&gt;0,$J9&gt;=Calc!K$1,$J9&lt;Calc!K$2)),SUMPRODUCT((Calc!Z$6:Z$105&lt;=$A9)*(Calc!AG$6:AG$105&gt;$A9))+SUMPRODUCT((Calc!Y$6:Y$105&lt;=$J9)*(Calc!AF$6:AF$105&gt;$J9)),"")</f>
        <v/>
      </c>
      <c r="J9" s="14" t="n">
        <f aca="false">1530/1440</f>
        <v>1.0625</v>
      </c>
    </row>
    <row r="10" customFormat="false" ht="15" hidden="false" customHeight="false" outlineLevel="0" collapsed="false">
      <c r="A10" s="15" t="n">
        <f aca="false">120/1440</f>
        <v>0.0833333333333333</v>
      </c>
      <c r="B10" s="13" t="str">
        <f aca="false">IF(OR(AND(Calc!F$3&gt;0,$A10&gt;=Calc!F$1,$A10&lt;Calc!F$2),AND(Calc!L$3&gt;0,$J10&gt;=Calc!L$1,$J10&lt;Calc!L$2)),SUMPRODUCT((Calc!T$6:T$105&lt;=$A10)*(Calc!AA$6:AA$105&gt;$A10))+SUMPRODUCT((Calc!Z$6:Z$105&lt;=$J10)*(Calc!AG$6:AG$105&gt;$J10)),"")</f>
        <v/>
      </c>
      <c r="C10" s="13" t="str">
        <f aca="false">IF(OR(AND(Calc!G$3&gt;0,$A10&gt;=Calc!G$1,$A10&lt;Calc!G$2),AND(Calc!F$3&gt;0,$J10&gt;=Calc!F$1,$J10&lt;Calc!F$2)),SUMPRODUCT((Calc!U$6:U$105&lt;=$A10)*(Calc!AB$6:AB$105&gt;$A10))+SUMPRODUCT((Calc!T$6:T$105&lt;=$J10)*(Calc!AA$6:AA$105&gt;$J10)),"")</f>
        <v/>
      </c>
      <c r="D10" s="13" t="str">
        <f aca="false">IF(OR(AND(Calc!H$3&gt;0,$A10&gt;=Calc!H$1,$A10&lt;Calc!H$2),AND(Calc!G$3&gt;0,$J10&gt;=Calc!G$1,$J10&lt;Calc!G$2)),SUMPRODUCT((Calc!V$6:V$105&lt;=$A10)*(Calc!AC$6:AC$105&gt;$A10))+SUMPRODUCT((Calc!U$6:U$105&lt;=$J10)*(Calc!AB$6:AB$105&gt;$J10)),"")</f>
        <v/>
      </c>
      <c r="E10" s="13" t="str">
        <f aca="false">IF(OR(AND(Calc!I$3&gt;0,$A10&gt;=Calc!I$1,$A10&lt;Calc!I$2),AND(Calc!H$3&gt;0,$J10&gt;=Calc!H$1,$J10&lt;Calc!H$2)),SUMPRODUCT((Calc!W$6:W$105&lt;=$A10)*(Calc!AD$6:AD$105&gt;$A10))+SUMPRODUCT((Calc!V$6:V$105&lt;=$J10)*(Calc!AC$6:AC$105&gt;$J10)),"")</f>
        <v/>
      </c>
      <c r="F10" s="13" t="str">
        <f aca="false">IF(OR(AND(Calc!J$3&gt;0,$A10&gt;=Calc!J$1,$A10&lt;Calc!J$2),AND(Calc!I$3&gt;0,$J10&gt;=Calc!I$1,$J10&lt;Calc!I$2)),SUMPRODUCT((Calc!X$6:X$105&lt;=$A10)*(Calc!AE$6:AE$105&gt;$A10))+SUMPRODUCT((Calc!W$6:W$105&lt;=$J10)*(Calc!AD$6:AD$105&gt;$J10)),"")</f>
        <v/>
      </c>
      <c r="G10" s="13" t="str">
        <f aca="false">IF(OR(AND(Calc!K$3&gt;0,$A10&gt;=Calc!K$1,$A10&lt;Calc!K$2),AND(Calc!J$3&gt;0,$J10&gt;=Calc!J$1,$J10&lt;Calc!J$2)),SUMPRODUCT((Calc!Y$6:Y$105&lt;=$A10)*(Calc!AF$6:AF$105&gt;$A10))+SUMPRODUCT((Calc!X$6:X$105&lt;=$J10)*(Calc!AE$6:AE$105&gt;$J10)),"")</f>
        <v/>
      </c>
      <c r="H10" s="13" t="str">
        <f aca="false">IF(OR(AND(Calc!L$3&gt;0,$A10&gt;=Calc!L$1,$A10&lt;Calc!L$2),AND(Calc!K$3&gt;0,$J10&gt;=Calc!K$1,$J10&lt;Calc!K$2)),SUMPRODUCT((Calc!Z$6:Z$105&lt;=$A10)*(Calc!AG$6:AG$105&gt;$A10))+SUMPRODUCT((Calc!Y$6:Y$105&lt;=$J10)*(Calc!AF$6:AF$105&gt;$J10)),"")</f>
        <v/>
      </c>
      <c r="J10" s="14" t="n">
        <f aca="false">1560/1440</f>
        <v>1.08333333333333</v>
      </c>
    </row>
    <row r="11" customFormat="false" ht="15" hidden="false" customHeight="false" outlineLevel="0" collapsed="false">
      <c r="A11" s="15" t="n">
        <f aca="false">150/1440</f>
        <v>0.104166666666667</v>
      </c>
      <c r="B11" s="13" t="str">
        <f aca="false">IF(OR(AND(Calc!F$3&gt;0,$A11&gt;=Calc!F$1,$A11&lt;Calc!F$2),AND(Calc!L$3&gt;0,$J11&gt;=Calc!L$1,$J11&lt;Calc!L$2)),SUMPRODUCT((Calc!T$6:T$105&lt;=$A11)*(Calc!AA$6:AA$105&gt;$A11))+SUMPRODUCT((Calc!Z$6:Z$105&lt;=$J11)*(Calc!AG$6:AG$105&gt;$J11)),"")</f>
        <v/>
      </c>
      <c r="C11" s="13" t="str">
        <f aca="false">IF(OR(AND(Calc!G$3&gt;0,$A11&gt;=Calc!G$1,$A11&lt;Calc!G$2),AND(Calc!F$3&gt;0,$J11&gt;=Calc!F$1,$J11&lt;Calc!F$2)),SUMPRODUCT((Calc!U$6:U$105&lt;=$A11)*(Calc!AB$6:AB$105&gt;$A11))+SUMPRODUCT((Calc!T$6:T$105&lt;=$J11)*(Calc!AA$6:AA$105&gt;$J11)),"")</f>
        <v/>
      </c>
      <c r="D11" s="13" t="str">
        <f aca="false">IF(OR(AND(Calc!H$3&gt;0,$A11&gt;=Calc!H$1,$A11&lt;Calc!H$2),AND(Calc!G$3&gt;0,$J11&gt;=Calc!G$1,$J11&lt;Calc!G$2)),SUMPRODUCT((Calc!V$6:V$105&lt;=$A11)*(Calc!AC$6:AC$105&gt;$A11))+SUMPRODUCT((Calc!U$6:U$105&lt;=$J11)*(Calc!AB$6:AB$105&gt;$J11)),"")</f>
        <v/>
      </c>
      <c r="E11" s="13" t="str">
        <f aca="false">IF(OR(AND(Calc!I$3&gt;0,$A11&gt;=Calc!I$1,$A11&lt;Calc!I$2),AND(Calc!H$3&gt;0,$J11&gt;=Calc!H$1,$J11&lt;Calc!H$2)),SUMPRODUCT((Calc!W$6:W$105&lt;=$A11)*(Calc!AD$6:AD$105&gt;$A11))+SUMPRODUCT((Calc!V$6:V$105&lt;=$J11)*(Calc!AC$6:AC$105&gt;$J11)),"")</f>
        <v/>
      </c>
      <c r="F11" s="13" t="str">
        <f aca="false">IF(OR(AND(Calc!J$3&gt;0,$A11&gt;=Calc!J$1,$A11&lt;Calc!J$2),AND(Calc!I$3&gt;0,$J11&gt;=Calc!I$1,$J11&lt;Calc!I$2)),SUMPRODUCT((Calc!X$6:X$105&lt;=$A11)*(Calc!AE$6:AE$105&gt;$A11))+SUMPRODUCT((Calc!W$6:W$105&lt;=$J11)*(Calc!AD$6:AD$105&gt;$J11)),"")</f>
        <v/>
      </c>
      <c r="G11" s="13" t="str">
        <f aca="false">IF(OR(AND(Calc!K$3&gt;0,$A11&gt;=Calc!K$1,$A11&lt;Calc!K$2),AND(Calc!J$3&gt;0,$J11&gt;=Calc!J$1,$J11&lt;Calc!J$2)),SUMPRODUCT((Calc!Y$6:Y$105&lt;=$A11)*(Calc!AF$6:AF$105&gt;$A11))+SUMPRODUCT((Calc!X$6:X$105&lt;=$J11)*(Calc!AE$6:AE$105&gt;$J11)),"")</f>
        <v/>
      </c>
      <c r="H11" s="13" t="str">
        <f aca="false">IF(OR(AND(Calc!L$3&gt;0,$A11&gt;=Calc!L$1,$A11&lt;Calc!L$2),AND(Calc!K$3&gt;0,$J11&gt;=Calc!K$1,$J11&lt;Calc!K$2)),SUMPRODUCT((Calc!Z$6:Z$105&lt;=$A11)*(Calc!AG$6:AG$105&gt;$A11))+SUMPRODUCT((Calc!Y$6:Y$105&lt;=$J11)*(Calc!AF$6:AF$105&gt;$J11)),"")</f>
        <v/>
      </c>
      <c r="J11" s="14" t="n">
        <f aca="false">1590/1440</f>
        <v>1.10416666666667</v>
      </c>
    </row>
    <row r="12" customFormat="false" ht="15" hidden="false" customHeight="false" outlineLevel="0" collapsed="false">
      <c r="A12" s="15" t="n">
        <f aca="false">180/1440</f>
        <v>0.125</v>
      </c>
      <c r="B12" s="13" t="str">
        <f aca="false">IF(OR(AND(Calc!F$3&gt;0,$A12&gt;=Calc!F$1,$A12&lt;Calc!F$2),AND(Calc!L$3&gt;0,$J12&gt;=Calc!L$1,$J12&lt;Calc!L$2)),SUMPRODUCT((Calc!T$6:T$105&lt;=$A12)*(Calc!AA$6:AA$105&gt;$A12))+SUMPRODUCT((Calc!Z$6:Z$105&lt;=$J12)*(Calc!AG$6:AG$105&gt;$J12)),"")</f>
        <v/>
      </c>
      <c r="C12" s="13" t="str">
        <f aca="false">IF(OR(AND(Calc!G$3&gt;0,$A12&gt;=Calc!G$1,$A12&lt;Calc!G$2),AND(Calc!F$3&gt;0,$J12&gt;=Calc!F$1,$J12&lt;Calc!F$2)),SUMPRODUCT((Calc!U$6:U$105&lt;=$A12)*(Calc!AB$6:AB$105&gt;$A12))+SUMPRODUCT((Calc!T$6:T$105&lt;=$J12)*(Calc!AA$6:AA$105&gt;$J12)),"")</f>
        <v/>
      </c>
      <c r="D12" s="13" t="str">
        <f aca="false">IF(OR(AND(Calc!H$3&gt;0,$A12&gt;=Calc!H$1,$A12&lt;Calc!H$2),AND(Calc!G$3&gt;0,$J12&gt;=Calc!G$1,$J12&lt;Calc!G$2)),SUMPRODUCT((Calc!V$6:V$105&lt;=$A12)*(Calc!AC$6:AC$105&gt;$A12))+SUMPRODUCT((Calc!U$6:U$105&lt;=$J12)*(Calc!AB$6:AB$105&gt;$J12)),"")</f>
        <v/>
      </c>
      <c r="E12" s="13" t="str">
        <f aca="false">IF(OR(AND(Calc!I$3&gt;0,$A12&gt;=Calc!I$1,$A12&lt;Calc!I$2),AND(Calc!H$3&gt;0,$J12&gt;=Calc!H$1,$J12&lt;Calc!H$2)),SUMPRODUCT((Calc!W$6:W$105&lt;=$A12)*(Calc!AD$6:AD$105&gt;$A12))+SUMPRODUCT((Calc!V$6:V$105&lt;=$J12)*(Calc!AC$6:AC$105&gt;$J12)),"")</f>
        <v/>
      </c>
      <c r="F12" s="13" t="str">
        <f aca="false">IF(OR(AND(Calc!J$3&gt;0,$A12&gt;=Calc!J$1,$A12&lt;Calc!J$2),AND(Calc!I$3&gt;0,$J12&gt;=Calc!I$1,$J12&lt;Calc!I$2)),SUMPRODUCT((Calc!X$6:X$105&lt;=$A12)*(Calc!AE$6:AE$105&gt;$A12))+SUMPRODUCT((Calc!W$6:W$105&lt;=$J12)*(Calc!AD$6:AD$105&gt;$J12)),"")</f>
        <v/>
      </c>
      <c r="G12" s="13" t="str">
        <f aca="false">IF(OR(AND(Calc!K$3&gt;0,$A12&gt;=Calc!K$1,$A12&lt;Calc!K$2),AND(Calc!J$3&gt;0,$J12&gt;=Calc!J$1,$J12&lt;Calc!J$2)),SUMPRODUCT((Calc!Y$6:Y$105&lt;=$A12)*(Calc!AF$6:AF$105&gt;$A12))+SUMPRODUCT((Calc!X$6:X$105&lt;=$J12)*(Calc!AE$6:AE$105&gt;$J12)),"")</f>
        <v/>
      </c>
      <c r="H12" s="13" t="str">
        <f aca="false">IF(OR(AND(Calc!L$3&gt;0,$A12&gt;=Calc!L$1,$A12&lt;Calc!L$2),AND(Calc!K$3&gt;0,$J12&gt;=Calc!K$1,$J12&lt;Calc!K$2)),SUMPRODUCT((Calc!Z$6:Z$105&lt;=$A12)*(Calc!AG$6:AG$105&gt;$A12))+SUMPRODUCT((Calc!Y$6:Y$105&lt;=$J12)*(Calc!AF$6:AF$105&gt;$J12)),"")</f>
        <v/>
      </c>
      <c r="J12" s="14" t="n">
        <f aca="false">1620/1440</f>
        <v>1.125</v>
      </c>
    </row>
    <row r="13" customFormat="false" ht="15" hidden="false" customHeight="false" outlineLevel="0" collapsed="false">
      <c r="A13" s="15" t="n">
        <f aca="false">210/1440</f>
        <v>0.145833333333333</v>
      </c>
      <c r="B13" s="13" t="str">
        <f aca="false">IF(OR(AND(Calc!F$3&gt;0,$A13&gt;=Calc!F$1,$A13&lt;Calc!F$2),AND(Calc!L$3&gt;0,$J13&gt;=Calc!L$1,$J13&lt;Calc!L$2)),SUMPRODUCT((Calc!T$6:T$105&lt;=$A13)*(Calc!AA$6:AA$105&gt;$A13))+SUMPRODUCT((Calc!Z$6:Z$105&lt;=$J13)*(Calc!AG$6:AG$105&gt;$J13)),"")</f>
        <v/>
      </c>
      <c r="C13" s="13" t="str">
        <f aca="false">IF(OR(AND(Calc!G$3&gt;0,$A13&gt;=Calc!G$1,$A13&lt;Calc!G$2),AND(Calc!F$3&gt;0,$J13&gt;=Calc!F$1,$J13&lt;Calc!F$2)),SUMPRODUCT((Calc!U$6:U$105&lt;=$A13)*(Calc!AB$6:AB$105&gt;$A13))+SUMPRODUCT((Calc!T$6:T$105&lt;=$J13)*(Calc!AA$6:AA$105&gt;$J13)),"")</f>
        <v/>
      </c>
      <c r="D13" s="13" t="str">
        <f aca="false">IF(OR(AND(Calc!H$3&gt;0,$A13&gt;=Calc!H$1,$A13&lt;Calc!H$2),AND(Calc!G$3&gt;0,$J13&gt;=Calc!G$1,$J13&lt;Calc!G$2)),SUMPRODUCT((Calc!V$6:V$105&lt;=$A13)*(Calc!AC$6:AC$105&gt;$A13))+SUMPRODUCT((Calc!U$6:U$105&lt;=$J13)*(Calc!AB$6:AB$105&gt;$J13)),"")</f>
        <v/>
      </c>
      <c r="E13" s="13" t="str">
        <f aca="false">IF(OR(AND(Calc!I$3&gt;0,$A13&gt;=Calc!I$1,$A13&lt;Calc!I$2),AND(Calc!H$3&gt;0,$J13&gt;=Calc!H$1,$J13&lt;Calc!H$2)),SUMPRODUCT((Calc!W$6:W$105&lt;=$A13)*(Calc!AD$6:AD$105&gt;$A13))+SUMPRODUCT((Calc!V$6:V$105&lt;=$J13)*(Calc!AC$6:AC$105&gt;$J13)),"")</f>
        <v/>
      </c>
      <c r="F13" s="13" t="str">
        <f aca="false">IF(OR(AND(Calc!J$3&gt;0,$A13&gt;=Calc!J$1,$A13&lt;Calc!J$2),AND(Calc!I$3&gt;0,$J13&gt;=Calc!I$1,$J13&lt;Calc!I$2)),SUMPRODUCT((Calc!X$6:X$105&lt;=$A13)*(Calc!AE$6:AE$105&gt;$A13))+SUMPRODUCT((Calc!W$6:W$105&lt;=$J13)*(Calc!AD$6:AD$105&gt;$J13)),"")</f>
        <v/>
      </c>
      <c r="G13" s="13" t="str">
        <f aca="false">IF(OR(AND(Calc!K$3&gt;0,$A13&gt;=Calc!K$1,$A13&lt;Calc!K$2),AND(Calc!J$3&gt;0,$J13&gt;=Calc!J$1,$J13&lt;Calc!J$2)),SUMPRODUCT((Calc!Y$6:Y$105&lt;=$A13)*(Calc!AF$6:AF$105&gt;$A13))+SUMPRODUCT((Calc!X$6:X$105&lt;=$J13)*(Calc!AE$6:AE$105&gt;$J13)),"")</f>
        <v/>
      </c>
      <c r="H13" s="13" t="str">
        <f aca="false">IF(OR(AND(Calc!L$3&gt;0,$A13&gt;=Calc!L$1,$A13&lt;Calc!L$2),AND(Calc!K$3&gt;0,$J13&gt;=Calc!K$1,$J13&lt;Calc!K$2)),SUMPRODUCT((Calc!Z$6:Z$105&lt;=$A13)*(Calc!AG$6:AG$105&gt;$A13))+SUMPRODUCT((Calc!Y$6:Y$105&lt;=$J13)*(Calc!AF$6:AF$105&gt;$J13)),"")</f>
        <v/>
      </c>
      <c r="J13" s="14" t="n">
        <f aca="false">1650/1440</f>
        <v>1.14583333333333</v>
      </c>
    </row>
    <row r="14" customFormat="false" ht="15" hidden="false" customHeight="false" outlineLevel="0" collapsed="false">
      <c r="A14" s="15" t="n">
        <f aca="false">240/1440</f>
        <v>0.166666666666667</v>
      </c>
      <c r="B14" s="13" t="str">
        <f aca="false">IF(OR(AND(Calc!F$3&gt;0,$A14&gt;=Calc!F$1,$A14&lt;Calc!F$2),AND(Calc!L$3&gt;0,$J14&gt;=Calc!L$1,$J14&lt;Calc!L$2)),SUMPRODUCT((Calc!T$6:T$105&lt;=$A14)*(Calc!AA$6:AA$105&gt;$A14))+SUMPRODUCT((Calc!Z$6:Z$105&lt;=$J14)*(Calc!AG$6:AG$105&gt;$J14)),"")</f>
        <v/>
      </c>
      <c r="C14" s="13" t="str">
        <f aca="false">IF(OR(AND(Calc!G$3&gt;0,$A14&gt;=Calc!G$1,$A14&lt;Calc!G$2),AND(Calc!F$3&gt;0,$J14&gt;=Calc!F$1,$J14&lt;Calc!F$2)),SUMPRODUCT((Calc!U$6:U$105&lt;=$A14)*(Calc!AB$6:AB$105&gt;$A14))+SUMPRODUCT((Calc!T$6:T$105&lt;=$J14)*(Calc!AA$6:AA$105&gt;$J14)),"")</f>
        <v/>
      </c>
      <c r="D14" s="13" t="str">
        <f aca="false">IF(OR(AND(Calc!H$3&gt;0,$A14&gt;=Calc!H$1,$A14&lt;Calc!H$2),AND(Calc!G$3&gt;0,$J14&gt;=Calc!G$1,$J14&lt;Calc!G$2)),SUMPRODUCT((Calc!V$6:V$105&lt;=$A14)*(Calc!AC$6:AC$105&gt;$A14))+SUMPRODUCT((Calc!U$6:U$105&lt;=$J14)*(Calc!AB$6:AB$105&gt;$J14)),"")</f>
        <v/>
      </c>
      <c r="E14" s="13" t="str">
        <f aca="false">IF(OR(AND(Calc!I$3&gt;0,$A14&gt;=Calc!I$1,$A14&lt;Calc!I$2),AND(Calc!H$3&gt;0,$J14&gt;=Calc!H$1,$J14&lt;Calc!H$2)),SUMPRODUCT((Calc!W$6:W$105&lt;=$A14)*(Calc!AD$6:AD$105&gt;$A14))+SUMPRODUCT((Calc!V$6:V$105&lt;=$J14)*(Calc!AC$6:AC$105&gt;$J14)),"")</f>
        <v/>
      </c>
      <c r="F14" s="13" t="str">
        <f aca="false">IF(OR(AND(Calc!J$3&gt;0,$A14&gt;=Calc!J$1,$A14&lt;Calc!J$2),AND(Calc!I$3&gt;0,$J14&gt;=Calc!I$1,$J14&lt;Calc!I$2)),SUMPRODUCT((Calc!X$6:X$105&lt;=$A14)*(Calc!AE$6:AE$105&gt;$A14))+SUMPRODUCT((Calc!W$6:W$105&lt;=$J14)*(Calc!AD$6:AD$105&gt;$J14)),"")</f>
        <v/>
      </c>
      <c r="G14" s="13" t="str">
        <f aca="false">IF(OR(AND(Calc!K$3&gt;0,$A14&gt;=Calc!K$1,$A14&lt;Calc!K$2),AND(Calc!J$3&gt;0,$J14&gt;=Calc!J$1,$J14&lt;Calc!J$2)),SUMPRODUCT((Calc!Y$6:Y$105&lt;=$A14)*(Calc!AF$6:AF$105&gt;$A14))+SUMPRODUCT((Calc!X$6:X$105&lt;=$J14)*(Calc!AE$6:AE$105&gt;$J14)),"")</f>
        <v/>
      </c>
      <c r="H14" s="13" t="str">
        <f aca="false">IF(OR(AND(Calc!L$3&gt;0,$A14&gt;=Calc!L$1,$A14&lt;Calc!L$2),AND(Calc!K$3&gt;0,$J14&gt;=Calc!K$1,$J14&lt;Calc!K$2)),SUMPRODUCT((Calc!Z$6:Z$105&lt;=$A14)*(Calc!AG$6:AG$105&gt;$A14))+SUMPRODUCT((Calc!Y$6:Y$105&lt;=$J14)*(Calc!AF$6:AF$105&gt;$J14)),"")</f>
        <v/>
      </c>
      <c r="J14" s="14" t="n">
        <f aca="false">1680/1440</f>
        <v>1.16666666666667</v>
      </c>
    </row>
    <row r="15" customFormat="false" ht="15" hidden="false" customHeight="false" outlineLevel="0" collapsed="false">
      <c r="A15" s="15" t="n">
        <f aca="false">270/1440</f>
        <v>0.1875</v>
      </c>
      <c r="B15" s="13" t="str">
        <f aca="false">IF(OR(AND(Calc!F$3&gt;0,$A15&gt;=Calc!F$1,$A15&lt;Calc!F$2),AND(Calc!L$3&gt;0,$J15&gt;=Calc!L$1,$J15&lt;Calc!L$2)),SUMPRODUCT((Calc!T$6:T$105&lt;=$A15)*(Calc!AA$6:AA$105&gt;$A15))+SUMPRODUCT((Calc!Z$6:Z$105&lt;=$J15)*(Calc!AG$6:AG$105&gt;$J15)),"")</f>
        <v/>
      </c>
      <c r="C15" s="13" t="str">
        <f aca="false">IF(OR(AND(Calc!G$3&gt;0,$A15&gt;=Calc!G$1,$A15&lt;Calc!G$2),AND(Calc!F$3&gt;0,$J15&gt;=Calc!F$1,$J15&lt;Calc!F$2)),SUMPRODUCT((Calc!U$6:U$105&lt;=$A15)*(Calc!AB$6:AB$105&gt;$A15))+SUMPRODUCT((Calc!T$6:T$105&lt;=$J15)*(Calc!AA$6:AA$105&gt;$J15)),"")</f>
        <v/>
      </c>
      <c r="D15" s="13" t="str">
        <f aca="false">IF(OR(AND(Calc!H$3&gt;0,$A15&gt;=Calc!H$1,$A15&lt;Calc!H$2),AND(Calc!G$3&gt;0,$J15&gt;=Calc!G$1,$J15&lt;Calc!G$2)),SUMPRODUCT((Calc!V$6:V$105&lt;=$A15)*(Calc!AC$6:AC$105&gt;$A15))+SUMPRODUCT((Calc!U$6:U$105&lt;=$J15)*(Calc!AB$6:AB$105&gt;$J15)),"")</f>
        <v/>
      </c>
      <c r="E15" s="13" t="str">
        <f aca="false">IF(OR(AND(Calc!I$3&gt;0,$A15&gt;=Calc!I$1,$A15&lt;Calc!I$2),AND(Calc!H$3&gt;0,$J15&gt;=Calc!H$1,$J15&lt;Calc!H$2)),SUMPRODUCT((Calc!W$6:W$105&lt;=$A15)*(Calc!AD$6:AD$105&gt;$A15))+SUMPRODUCT((Calc!V$6:V$105&lt;=$J15)*(Calc!AC$6:AC$105&gt;$J15)),"")</f>
        <v/>
      </c>
      <c r="F15" s="13" t="str">
        <f aca="false">IF(OR(AND(Calc!J$3&gt;0,$A15&gt;=Calc!J$1,$A15&lt;Calc!J$2),AND(Calc!I$3&gt;0,$J15&gt;=Calc!I$1,$J15&lt;Calc!I$2)),SUMPRODUCT((Calc!X$6:X$105&lt;=$A15)*(Calc!AE$6:AE$105&gt;$A15))+SUMPRODUCT((Calc!W$6:W$105&lt;=$J15)*(Calc!AD$6:AD$105&gt;$J15)),"")</f>
        <v/>
      </c>
      <c r="G15" s="13" t="str">
        <f aca="false">IF(OR(AND(Calc!K$3&gt;0,$A15&gt;=Calc!K$1,$A15&lt;Calc!K$2),AND(Calc!J$3&gt;0,$J15&gt;=Calc!J$1,$J15&lt;Calc!J$2)),SUMPRODUCT((Calc!Y$6:Y$105&lt;=$A15)*(Calc!AF$6:AF$105&gt;$A15))+SUMPRODUCT((Calc!X$6:X$105&lt;=$J15)*(Calc!AE$6:AE$105&gt;$J15)),"")</f>
        <v/>
      </c>
      <c r="H15" s="13" t="str">
        <f aca="false">IF(OR(AND(Calc!L$3&gt;0,$A15&gt;=Calc!L$1,$A15&lt;Calc!L$2),AND(Calc!K$3&gt;0,$J15&gt;=Calc!K$1,$J15&lt;Calc!K$2)),SUMPRODUCT((Calc!Z$6:Z$105&lt;=$A15)*(Calc!AG$6:AG$105&gt;$A15))+SUMPRODUCT((Calc!Y$6:Y$105&lt;=$J15)*(Calc!AF$6:AF$105&gt;$J15)),"")</f>
        <v/>
      </c>
      <c r="J15" s="14" t="n">
        <f aca="false">1710/1440</f>
        <v>1.1875</v>
      </c>
    </row>
    <row r="16" customFormat="false" ht="15" hidden="false" customHeight="false" outlineLevel="0" collapsed="false">
      <c r="A16" s="15" t="n">
        <f aca="false">300/1440</f>
        <v>0.208333333333333</v>
      </c>
      <c r="B16" s="13" t="str">
        <f aca="false">IF(OR(AND(Calc!F$3&gt;0,$A16&gt;=Calc!F$1,$A16&lt;Calc!F$2),AND(Calc!L$3&gt;0,$J16&gt;=Calc!L$1,$J16&lt;Calc!L$2)),SUMPRODUCT((Calc!T$6:T$105&lt;=$A16)*(Calc!AA$6:AA$105&gt;$A16))+SUMPRODUCT((Calc!Z$6:Z$105&lt;=$J16)*(Calc!AG$6:AG$105&gt;$J16)),"")</f>
        <v/>
      </c>
      <c r="C16" s="13" t="str">
        <f aca="false">IF(OR(AND(Calc!G$3&gt;0,$A16&gt;=Calc!G$1,$A16&lt;Calc!G$2),AND(Calc!F$3&gt;0,$J16&gt;=Calc!F$1,$J16&lt;Calc!F$2)),SUMPRODUCT((Calc!U$6:U$105&lt;=$A16)*(Calc!AB$6:AB$105&gt;$A16))+SUMPRODUCT((Calc!T$6:T$105&lt;=$J16)*(Calc!AA$6:AA$105&gt;$J16)),"")</f>
        <v/>
      </c>
      <c r="D16" s="13" t="str">
        <f aca="false">IF(OR(AND(Calc!H$3&gt;0,$A16&gt;=Calc!H$1,$A16&lt;Calc!H$2),AND(Calc!G$3&gt;0,$J16&gt;=Calc!G$1,$J16&lt;Calc!G$2)),SUMPRODUCT((Calc!V$6:V$105&lt;=$A16)*(Calc!AC$6:AC$105&gt;$A16))+SUMPRODUCT((Calc!U$6:U$105&lt;=$J16)*(Calc!AB$6:AB$105&gt;$J16)),"")</f>
        <v/>
      </c>
      <c r="E16" s="13" t="str">
        <f aca="false">IF(OR(AND(Calc!I$3&gt;0,$A16&gt;=Calc!I$1,$A16&lt;Calc!I$2),AND(Calc!H$3&gt;0,$J16&gt;=Calc!H$1,$J16&lt;Calc!H$2)),SUMPRODUCT((Calc!W$6:W$105&lt;=$A16)*(Calc!AD$6:AD$105&gt;$A16))+SUMPRODUCT((Calc!V$6:V$105&lt;=$J16)*(Calc!AC$6:AC$105&gt;$J16)),"")</f>
        <v/>
      </c>
      <c r="F16" s="13" t="str">
        <f aca="false">IF(OR(AND(Calc!J$3&gt;0,$A16&gt;=Calc!J$1,$A16&lt;Calc!J$2),AND(Calc!I$3&gt;0,$J16&gt;=Calc!I$1,$J16&lt;Calc!I$2)),SUMPRODUCT((Calc!X$6:X$105&lt;=$A16)*(Calc!AE$6:AE$105&gt;$A16))+SUMPRODUCT((Calc!W$6:W$105&lt;=$J16)*(Calc!AD$6:AD$105&gt;$J16)),"")</f>
        <v/>
      </c>
      <c r="G16" s="13" t="str">
        <f aca="false">IF(OR(AND(Calc!K$3&gt;0,$A16&gt;=Calc!K$1,$A16&lt;Calc!K$2),AND(Calc!J$3&gt;0,$J16&gt;=Calc!J$1,$J16&lt;Calc!J$2)),SUMPRODUCT((Calc!Y$6:Y$105&lt;=$A16)*(Calc!AF$6:AF$105&gt;$A16))+SUMPRODUCT((Calc!X$6:X$105&lt;=$J16)*(Calc!AE$6:AE$105&gt;$J16)),"")</f>
        <v/>
      </c>
      <c r="H16" s="13" t="str">
        <f aca="false">IF(OR(AND(Calc!L$3&gt;0,$A16&gt;=Calc!L$1,$A16&lt;Calc!L$2),AND(Calc!K$3&gt;0,$J16&gt;=Calc!K$1,$J16&lt;Calc!K$2)),SUMPRODUCT((Calc!Z$6:Z$105&lt;=$A16)*(Calc!AG$6:AG$105&gt;$A16))+SUMPRODUCT((Calc!Y$6:Y$105&lt;=$J16)*(Calc!AF$6:AF$105&gt;$J16)),"")</f>
        <v/>
      </c>
      <c r="J16" s="14" t="n">
        <f aca="false">1740/1440</f>
        <v>1.20833333333333</v>
      </c>
    </row>
    <row r="17" customFormat="false" ht="15" hidden="false" customHeight="false" outlineLevel="0" collapsed="false">
      <c r="A17" s="15" t="n">
        <f aca="false">330/1440</f>
        <v>0.229166666666667</v>
      </c>
      <c r="B17" s="13" t="str">
        <f aca="false">IF(OR(AND(Calc!F$3&gt;0,$A17&gt;=Calc!F$1,$A17&lt;Calc!F$2),AND(Calc!L$3&gt;0,$J17&gt;=Calc!L$1,$J17&lt;Calc!L$2)),SUMPRODUCT((Calc!T$6:T$105&lt;=$A17)*(Calc!AA$6:AA$105&gt;$A17))+SUMPRODUCT((Calc!Z$6:Z$105&lt;=$J17)*(Calc!AG$6:AG$105&gt;$J17)),"")</f>
        <v/>
      </c>
      <c r="C17" s="13" t="str">
        <f aca="false">IF(OR(AND(Calc!G$3&gt;0,$A17&gt;=Calc!G$1,$A17&lt;Calc!G$2),AND(Calc!F$3&gt;0,$J17&gt;=Calc!F$1,$J17&lt;Calc!F$2)),SUMPRODUCT((Calc!U$6:U$105&lt;=$A17)*(Calc!AB$6:AB$105&gt;$A17))+SUMPRODUCT((Calc!T$6:T$105&lt;=$J17)*(Calc!AA$6:AA$105&gt;$J17)),"")</f>
        <v/>
      </c>
      <c r="D17" s="13" t="str">
        <f aca="false">IF(OR(AND(Calc!H$3&gt;0,$A17&gt;=Calc!H$1,$A17&lt;Calc!H$2),AND(Calc!G$3&gt;0,$J17&gt;=Calc!G$1,$J17&lt;Calc!G$2)),SUMPRODUCT((Calc!V$6:V$105&lt;=$A17)*(Calc!AC$6:AC$105&gt;$A17))+SUMPRODUCT((Calc!U$6:U$105&lt;=$J17)*(Calc!AB$6:AB$105&gt;$J17)),"")</f>
        <v/>
      </c>
      <c r="E17" s="13" t="str">
        <f aca="false">IF(OR(AND(Calc!I$3&gt;0,$A17&gt;=Calc!I$1,$A17&lt;Calc!I$2),AND(Calc!H$3&gt;0,$J17&gt;=Calc!H$1,$J17&lt;Calc!H$2)),SUMPRODUCT((Calc!W$6:W$105&lt;=$A17)*(Calc!AD$6:AD$105&gt;$A17))+SUMPRODUCT((Calc!V$6:V$105&lt;=$J17)*(Calc!AC$6:AC$105&gt;$J17)),"")</f>
        <v/>
      </c>
      <c r="F17" s="13" t="str">
        <f aca="false">IF(OR(AND(Calc!J$3&gt;0,$A17&gt;=Calc!J$1,$A17&lt;Calc!J$2),AND(Calc!I$3&gt;0,$J17&gt;=Calc!I$1,$J17&lt;Calc!I$2)),SUMPRODUCT((Calc!X$6:X$105&lt;=$A17)*(Calc!AE$6:AE$105&gt;$A17))+SUMPRODUCT((Calc!W$6:W$105&lt;=$J17)*(Calc!AD$6:AD$105&gt;$J17)),"")</f>
        <v/>
      </c>
      <c r="G17" s="13" t="str">
        <f aca="false">IF(OR(AND(Calc!K$3&gt;0,$A17&gt;=Calc!K$1,$A17&lt;Calc!K$2),AND(Calc!J$3&gt;0,$J17&gt;=Calc!J$1,$J17&lt;Calc!J$2)),SUMPRODUCT((Calc!Y$6:Y$105&lt;=$A17)*(Calc!AF$6:AF$105&gt;$A17))+SUMPRODUCT((Calc!X$6:X$105&lt;=$J17)*(Calc!AE$6:AE$105&gt;$J17)),"")</f>
        <v/>
      </c>
      <c r="H17" s="13" t="str">
        <f aca="false">IF(OR(AND(Calc!L$3&gt;0,$A17&gt;=Calc!L$1,$A17&lt;Calc!L$2),AND(Calc!K$3&gt;0,$J17&gt;=Calc!K$1,$J17&lt;Calc!K$2)),SUMPRODUCT((Calc!Z$6:Z$105&lt;=$A17)*(Calc!AG$6:AG$105&gt;$A17))+SUMPRODUCT((Calc!Y$6:Y$105&lt;=$J17)*(Calc!AF$6:AF$105&gt;$J17)),"")</f>
        <v/>
      </c>
      <c r="J17" s="14" t="n">
        <f aca="false">1770/1440</f>
        <v>1.22916666666667</v>
      </c>
    </row>
    <row r="18" customFormat="false" ht="15" hidden="false" customHeight="false" outlineLevel="0" collapsed="false">
      <c r="A18" s="15" t="n">
        <f aca="false">360/1440</f>
        <v>0.25</v>
      </c>
      <c r="B18" s="13" t="n">
        <f aca="false">IF(OR(AND(Calc!F$3&gt;0,$A18&gt;=Calc!F$1,$A18&lt;Calc!F$2),AND(Calc!L$3&gt;0,$J18&gt;=Calc!L$1,$J18&lt;Calc!L$2)),SUMPRODUCT((Calc!T$6:T$105&lt;=$A18)*(Calc!AA$6:AA$105&gt;$A18))+SUMPRODUCT((Calc!Z$6:Z$105&lt;=$J18)*(Calc!AG$6:AG$105&gt;$J18)),"")</f>
        <v>1</v>
      </c>
      <c r="C18" s="13" t="n">
        <f aca="false">IF(OR(AND(Calc!G$3&gt;0,$A18&gt;=Calc!G$1,$A18&lt;Calc!G$2),AND(Calc!F$3&gt;0,$J18&gt;=Calc!F$1,$J18&lt;Calc!F$2)),SUMPRODUCT((Calc!U$6:U$105&lt;=$A18)*(Calc!AB$6:AB$105&gt;$A18))+SUMPRODUCT((Calc!T$6:T$105&lt;=$J18)*(Calc!AA$6:AA$105&gt;$J18)),"")</f>
        <v>1</v>
      </c>
      <c r="D18" s="13" t="n">
        <f aca="false">IF(OR(AND(Calc!H$3&gt;0,$A18&gt;=Calc!H$1,$A18&lt;Calc!H$2),AND(Calc!G$3&gt;0,$J18&gt;=Calc!G$1,$J18&lt;Calc!G$2)),SUMPRODUCT((Calc!V$6:V$105&lt;=$A18)*(Calc!AC$6:AC$105&gt;$A18))+SUMPRODUCT((Calc!U$6:U$105&lt;=$J18)*(Calc!AB$6:AB$105&gt;$J18)),"")</f>
        <v>1</v>
      </c>
      <c r="E18" s="13" t="n">
        <f aca="false">IF(OR(AND(Calc!I$3&gt;0,$A18&gt;=Calc!I$1,$A18&lt;Calc!I$2),AND(Calc!H$3&gt;0,$J18&gt;=Calc!H$1,$J18&lt;Calc!H$2)),SUMPRODUCT((Calc!W$6:W$105&lt;=$A18)*(Calc!AD$6:AD$105&gt;$A18))+SUMPRODUCT((Calc!V$6:V$105&lt;=$J18)*(Calc!AC$6:AC$105&gt;$J18)),"")</f>
        <v>1</v>
      </c>
      <c r="F18" s="13" t="n">
        <f aca="false">IF(OR(AND(Calc!J$3&gt;0,$A18&gt;=Calc!J$1,$A18&lt;Calc!J$2),AND(Calc!I$3&gt;0,$J18&gt;=Calc!I$1,$J18&lt;Calc!I$2)),SUMPRODUCT((Calc!X$6:X$105&lt;=$A18)*(Calc!AE$6:AE$105&gt;$A18))+SUMPRODUCT((Calc!W$6:W$105&lt;=$J18)*(Calc!AD$6:AD$105&gt;$J18)),"")</f>
        <v>1</v>
      </c>
      <c r="G18" s="13" t="n">
        <f aca="false">IF(OR(AND(Calc!K$3&gt;0,$A18&gt;=Calc!K$1,$A18&lt;Calc!K$2),AND(Calc!J$3&gt;0,$J18&gt;=Calc!J$1,$J18&lt;Calc!J$2)),SUMPRODUCT((Calc!Y$6:Y$105&lt;=$A18)*(Calc!AF$6:AF$105&gt;$A18))+SUMPRODUCT((Calc!X$6:X$105&lt;=$J18)*(Calc!AE$6:AE$105&gt;$J18)),"")</f>
        <v>1</v>
      </c>
      <c r="H18" s="13" t="n">
        <f aca="false">IF(OR(AND(Calc!L$3&gt;0,$A18&gt;=Calc!L$1,$A18&lt;Calc!L$2),AND(Calc!K$3&gt;0,$J18&gt;=Calc!K$1,$J18&lt;Calc!K$2)),SUMPRODUCT((Calc!Z$6:Z$105&lt;=$A18)*(Calc!AG$6:AG$105&gt;$A18))+SUMPRODUCT((Calc!Y$6:Y$105&lt;=$J18)*(Calc!AF$6:AF$105&gt;$J18)),"")</f>
        <v>1</v>
      </c>
      <c r="J18" s="14" t="n">
        <f aca="false">1800/1440</f>
        <v>1.25</v>
      </c>
    </row>
    <row r="19" customFormat="false" ht="15" hidden="false" customHeight="false" outlineLevel="0" collapsed="false">
      <c r="A19" s="15" t="n">
        <f aca="false">390/1440</f>
        <v>0.270833333333333</v>
      </c>
      <c r="B19" s="13" t="n">
        <f aca="false">IF(OR(AND(Calc!F$3&gt;0,$A19&gt;=Calc!F$1,$A19&lt;Calc!F$2),AND(Calc!L$3&gt;0,$J19&gt;=Calc!L$1,$J19&lt;Calc!L$2)),SUMPRODUCT((Calc!T$6:T$105&lt;=$A19)*(Calc!AA$6:AA$105&gt;$A19))+SUMPRODUCT((Calc!Z$6:Z$105&lt;=$J19)*(Calc!AG$6:AG$105&gt;$J19)),"")</f>
        <v>1</v>
      </c>
      <c r="C19" s="13" t="n">
        <f aca="false">IF(OR(AND(Calc!G$3&gt;0,$A19&gt;=Calc!G$1,$A19&lt;Calc!G$2),AND(Calc!F$3&gt;0,$J19&gt;=Calc!F$1,$J19&lt;Calc!F$2)),SUMPRODUCT((Calc!U$6:U$105&lt;=$A19)*(Calc!AB$6:AB$105&gt;$A19))+SUMPRODUCT((Calc!T$6:T$105&lt;=$J19)*(Calc!AA$6:AA$105&gt;$J19)),"")</f>
        <v>1</v>
      </c>
      <c r="D19" s="13" t="n">
        <f aca="false">IF(OR(AND(Calc!H$3&gt;0,$A19&gt;=Calc!H$1,$A19&lt;Calc!H$2),AND(Calc!G$3&gt;0,$J19&gt;=Calc!G$1,$J19&lt;Calc!G$2)),SUMPRODUCT((Calc!V$6:V$105&lt;=$A19)*(Calc!AC$6:AC$105&gt;$A19))+SUMPRODUCT((Calc!U$6:U$105&lt;=$J19)*(Calc!AB$6:AB$105&gt;$J19)),"")</f>
        <v>2</v>
      </c>
      <c r="E19" s="13" t="n">
        <f aca="false">IF(OR(AND(Calc!I$3&gt;0,$A19&gt;=Calc!I$1,$A19&lt;Calc!I$2),AND(Calc!H$3&gt;0,$J19&gt;=Calc!H$1,$J19&lt;Calc!H$2)),SUMPRODUCT((Calc!W$6:W$105&lt;=$A19)*(Calc!AD$6:AD$105&gt;$A19))+SUMPRODUCT((Calc!V$6:V$105&lt;=$J19)*(Calc!AC$6:AC$105&gt;$J19)),"")</f>
        <v>1</v>
      </c>
      <c r="F19" s="13" t="n">
        <f aca="false">IF(OR(AND(Calc!J$3&gt;0,$A19&gt;=Calc!J$1,$A19&lt;Calc!J$2),AND(Calc!I$3&gt;0,$J19&gt;=Calc!I$1,$J19&lt;Calc!I$2)),SUMPRODUCT((Calc!X$6:X$105&lt;=$A19)*(Calc!AE$6:AE$105&gt;$A19))+SUMPRODUCT((Calc!W$6:W$105&lt;=$J19)*(Calc!AD$6:AD$105&gt;$J19)),"")</f>
        <v>2</v>
      </c>
      <c r="G19" s="13" t="n">
        <f aca="false">IF(OR(AND(Calc!K$3&gt;0,$A19&gt;=Calc!K$1,$A19&lt;Calc!K$2),AND(Calc!J$3&gt;0,$J19&gt;=Calc!J$1,$J19&lt;Calc!J$2)),SUMPRODUCT((Calc!Y$6:Y$105&lt;=$A19)*(Calc!AF$6:AF$105&gt;$A19))+SUMPRODUCT((Calc!X$6:X$105&lt;=$J19)*(Calc!AE$6:AE$105&gt;$J19)),"")</f>
        <v>1</v>
      </c>
      <c r="H19" s="13" t="n">
        <f aca="false">IF(OR(AND(Calc!L$3&gt;0,$A19&gt;=Calc!L$1,$A19&lt;Calc!L$2),AND(Calc!K$3&gt;0,$J19&gt;=Calc!K$1,$J19&lt;Calc!K$2)),SUMPRODUCT((Calc!Z$6:Z$105&lt;=$A19)*(Calc!AG$6:AG$105&gt;$A19))+SUMPRODUCT((Calc!Y$6:Y$105&lt;=$J19)*(Calc!AF$6:AF$105&gt;$J19)),"")</f>
        <v>1</v>
      </c>
      <c r="J19" s="14" t="n">
        <f aca="false">1830/1440</f>
        <v>1.27083333333333</v>
      </c>
    </row>
    <row r="20" customFormat="false" ht="15" hidden="false" customHeight="false" outlineLevel="0" collapsed="false">
      <c r="A20" s="15" t="n">
        <f aca="false">420/1440</f>
        <v>0.291666666666667</v>
      </c>
      <c r="B20" s="13" t="n">
        <f aca="false">IF(OR(AND(Calc!F$3&gt;0,$A20&gt;=Calc!F$1,$A20&lt;Calc!F$2),AND(Calc!L$3&gt;0,$J20&gt;=Calc!L$1,$J20&lt;Calc!L$2)),SUMPRODUCT((Calc!T$6:T$105&lt;=$A20)*(Calc!AA$6:AA$105&gt;$A20))+SUMPRODUCT((Calc!Z$6:Z$105&lt;=$J20)*(Calc!AG$6:AG$105&gt;$J20)),"")</f>
        <v>2</v>
      </c>
      <c r="C20" s="13" t="n">
        <f aca="false">IF(OR(AND(Calc!G$3&gt;0,$A20&gt;=Calc!G$1,$A20&lt;Calc!G$2),AND(Calc!F$3&gt;0,$J20&gt;=Calc!F$1,$J20&lt;Calc!F$2)),SUMPRODUCT((Calc!U$6:U$105&lt;=$A20)*(Calc!AB$6:AB$105&gt;$A20))+SUMPRODUCT((Calc!T$6:T$105&lt;=$J20)*(Calc!AA$6:AA$105&gt;$J20)),"")</f>
        <v>2</v>
      </c>
      <c r="D20" s="13" t="n">
        <f aca="false">IF(OR(AND(Calc!H$3&gt;0,$A20&gt;=Calc!H$1,$A20&lt;Calc!H$2),AND(Calc!G$3&gt;0,$J20&gt;=Calc!G$1,$J20&lt;Calc!G$2)),SUMPRODUCT((Calc!V$6:V$105&lt;=$A20)*(Calc!AC$6:AC$105&gt;$A20))+SUMPRODUCT((Calc!U$6:U$105&lt;=$J20)*(Calc!AB$6:AB$105&gt;$J20)),"")</f>
        <v>2</v>
      </c>
      <c r="E20" s="13" t="n">
        <f aca="false">IF(OR(AND(Calc!I$3&gt;0,$A20&gt;=Calc!I$1,$A20&lt;Calc!I$2),AND(Calc!H$3&gt;0,$J20&gt;=Calc!H$1,$J20&lt;Calc!H$2)),SUMPRODUCT((Calc!W$6:W$105&lt;=$A20)*(Calc!AD$6:AD$105&gt;$A20))+SUMPRODUCT((Calc!V$6:V$105&lt;=$J20)*(Calc!AC$6:AC$105&gt;$J20)),"")</f>
        <v>2</v>
      </c>
      <c r="F20" s="13" t="n">
        <f aca="false">IF(OR(AND(Calc!J$3&gt;0,$A20&gt;=Calc!J$1,$A20&lt;Calc!J$2),AND(Calc!I$3&gt;0,$J20&gt;=Calc!I$1,$J20&lt;Calc!I$2)),SUMPRODUCT((Calc!X$6:X$105&lt;=$A20)*(Calc!AE$6:AE$105&gt;$A20))+SUMPRODUCT((Calc!W$6:W$105&lt;=$J20)*(Calc!AD$6:AD$105&gt;$J20)),"")</f>
        <v>2</v>
      </c>
      <c r="G20" s="13" t="n">
        <f aca="false">IF(OR(AND(Calc!K$3&gt;0,$A20&gt;=Calc!K$1,$A20&lt;Calc!K$2),AND(Calc!J$3&gt;0,$J20&gt;=Calc!J$1,$J20&lt;Calc!J$2)),SUMPRODUCT((Calc!Y$6:Y$105&lt;=$A20)*(Calc!AF$6:AF$105&gt;$A20))+SUMPRODUCT((Calc!X$6:X$105&lt;=$J20)*(Calc!AE$6:AE$105&gt;$J20)),"")</f>
        <v>2</v>
      </c>
      <c r="H20" s="13" t="n">
        <f aca="false">IF(OR(AND(Calc!L$3&gt;0,$A20&gt;=Calc!L$1,$A20&lt;Calc!L$2),AND(Calc!K$3&gt;0,$J20&gt;=Calc!K$1,$J20&lt;Calc!K$2)),SUMPRODUCT((Calc!Z$6:Z$105&lt;=$A20)*(Calc!AG$6:AG$105&gt;$A20))+SUMPRODUCT((Calc!Y$6:Y$105&lt;=$J20)*(Calc!AF$6:AF$105&gt;$J20)),"")</f>
        <v>2</v>
      </c>
      <c r="J20" s="14" t="n">
        <f aca="false">1860/1440</f>
        <v>1.29166666666667</v>
      </c>
    </row>
    <row r="21" customFormat="false" ht="15" hidden="false" customHeight="false" outlineLevel="0" collapsed="false">
      <c r="A21" s="15" t="n">
        <f aca="false">450/1440</f>
        <v>0.3125</v>
      </c>
      <c r="B21" s="13" t="n">
        <f aca="false">IF(OR(AND(Calc!F$3&gt;0,$A21&gt;=Calc!F$1,$A21&lt;Calc!F$2),AND(Calc!L$3&gt;0,$J21&gt;=Calc!L$1,$J21&lt;Calc!L$2)),SUMPRODUCT((Calc!T$6:T$105&lt;=$A21)*(Calc!AA$6:AA$105&gt;$A21))+SUMPRODUCT((Calc!Z$6:Z$105&lt;=$J21)*(Calc!AG$6:AG$105&gt;$J21)),"")</f>
        <v>3</v>
      </c>
      <c r="C21" s="13" t="n">
        <f aca="false">IF(OR(AND(Calc!G$3&gt;0,$A21&gt;=Calc!G$1,$A21&lt;Calc!G$2),AND(Calc!F$3&gt;0,$J21&gt;=Calc!F$1,$J21&lt;Calc!F$2)),SUMPRODUCT((Calc!U$6:U$105&lt;=$A21)*(Calc!AB$6:AB$105&gt;$A21))+SUMPRODUCT((Calc!T$6:T$105&lt;=$J21)*(Calc!AA$6:AA$105&gt;$J21)),"")</f>
        <v>3</v>
      </c>
      <c r="D21" s="13" t="n">
        <f aca="false">IF(OR(AND(Calc!H$3&gt;0,$A21&gt;=Calc!H$1,$A21&lt;Calc!H$2),AND(Calc!G$3&gt;0,$J21&gt;=Calc!G$1,$J21&lt;Calc!G$2)),SUMPRODUCT((Calc!V$6:V$105&lt;=$A21)*(Calc!AC$6:AC$105&gt;$A21))+SUMPRODUCT((Calc!U$6:U$105&lt;=$J21)*(Calc!AB$6:AB$105&gt;$J21)),"")</f>
        <v>3</v>
      </c>
      <c r="E21" s="13" t="n">
        <f aca="false">IF(OR(AND(Calc!I$3&gt;0,$A21&gt;=Calc!I$1,$A21&lt;Calc!I$2),AND(Calc!H$3&gt;0,$J21&gt;=Calc!H$1,$J21&lt;Calc!H$2)),SUMPRODUCT((Calc!W$6:W$105&lt;=$A21)*(Calc!AD$6:AD$105&gt;$A21))+SUMPRODUCT((Calc!V$6:V$105&lt;=$J21)*(Calc!AC$6:AC$105&gt;$J21)),"")</f>
        <v>3</v>
      </c>
      <c r="F21" s="13" t="n">
        <f aca="false">IF(OR(AND(Calc!J$3&gt;0,$A21&gt;=Calc!J$1,$A21&lt;Calc!J$2),AND(Calc!I$3&gt;0,$J21&gt;=Calc!I$1,$J21&lt;Calc!I$2)),SUMPRODUCT((Calc!X$6:X$105&lt;=$A21)*(Calc!AE$6:AE$105&gt;$A21))+SUMPRODUCT((Calc!W$6:W$105&lt;=$J21)*(Calc!AD$6:AD$105&gt;$J21)),"")</f>
        <v>3</v>
      </c>
      <c r="G21" s="13" t="n">
        <f aca="false">IF(OR(AND(Calc!K$3&gt;0,$A21&gt;=Calc!K$1,$A21&lt;Calc!K$2),AND(Calc!J$3&gt;0,$J21&gt;=Calc!J$1,$J21&lt;Calc!J$2)),SUMPRODUCT((Calc!Y$6:Y$105&lt;=$A21)*(Calc!AF$6:AF$105&gt;$A21))+SUMPRODUCT((Calc!X$6:X$105&lt;=$J21)*(Calc!AE$6:AE$105&gt;$J21)),"")</f>
        <v>3</v>
      </c>
      <c r="H21" s="13" t="n">
        <f aca="false">IF(OR(AND(Calc!L$3&gt;0,$A21&gt;=Calc!L$1,$A21&lt;Calc!L$2),AND(Calc!K$3&gt;0,$J21&gt;=Calc!K$1,$J21&lt;Calc!K$2)),SUMPRODUCT((Calc!Z$6:Z$105&lt;=$A21)*(Calc!AG$6:AG$105&gt;$A21))+SUMPRODUCT((Calc!Y$6:Y$105&lt;=$J21)*(Calc!AF$6:AF$105&gt;$J21)),"")</f>
        <v>3</v>
      </c>
      <c r="J21" s="14" t="n">
        <f aca="false">1890/1440</f>
        <v>1.3125</v>
      </c>
    </row>
    <row r="22" customFormat="false" ht="15" hidden="false" customHeight="false" outlineLevel="0" collapsed="false">
      <c r="A22" s="15" t="n">
        <f aca="false">480/1440</f>
        <v>0.333333333333333</v>
      </c>
      <c r="B22" s="13" t="n">
        <f aca="false">IF(OR(AND(Calc!F$3&gt;0,$A22&gt;=Calc!F$1,$A22&lt;Calc!F$2),AND(Calc!L$3&gt;0,$J22&gt;=Calc!L$1,$J22&lt;Calc!L$2)),SUMPRODUCT((Calc!T$6:T$105&lt;=$A22)*(Calc!AA$6:AA$105&gt;$A22))+SUMPRODUCT((Calc!Z$6:Z$105&lt;=$J22)*(Calc!AG$6:AG$105&gt;$J22)),"")</f>
        <v>4</v>
      </c>
      <c r="C22" s="13" t="n">
        <f aca="false">IF(OR(AND(Calc!G$3&gt;0,$A22&gt;=Calc!G$1,$A22&lt;Calc!G$2),AND(Calc!F$3&gt;0,$J22&gt;=Calc!F$1,$J22&lt;Calc!F$2)),SUMPRODUCT((Calc!U$6:U$105&lt;=$A22)*(Calc!AB$6:AB$105&gt;$A22))+SUMPRODUCT((Calc!T$6:T$105&lt;=$J22)*(Calc!AA$6:AA$105&gt;$J22)),"")</f>
        <v>4</v>
      </c>
      <c r="D22" s="13" t="n">
        <f aca="false">IF(OR(AND(Calc!H$3&gt;0,$A22&gt;=Calc!H$1,$A22&lt;Calc!H$2),AND(Calc!G$3&gt;0,$J22&gt;=Calc!G$1,$J22&lt;Calc!G$2)),SUMPRODUCT((Calc!V$6:V$105&lt;=$A22)*(Calc!AC$6:AC$105&gt;$A22))+SUMPRODUCT((Calc!U$6:U$105&lt;=$J22)*(Calc!AB$6:AB$105&gt;$J22)),"")</f>
        <v>4</v>
      </c>
      <c r="E22" s="13" t="n">
        <f aca="false">IF(OR(AND(Calc!I$3&gt;0,$A22&gt;=Calc!I$1,$A22&lt;Calc!I$2),AND(Calc!H$3&gt;0,$J22&gt;=Calc!H$1,$J22&lt;Calc!H$2)),SUMPRODUCT((Calc!W$6:W$105&lt;=$A22)*(Calc!AD$6:AD$105&gt;$A22))+SUMPRODUCT((Calc!V$6:V$105&lt;=$J22)*(Calc!AC$6:AC$105&gt;$J22)),"")</f>
        <v>4</v>
      </c>
      <c r="F22" s="13" t="n">
        <f aca="false">IF(OR(AND(Calc!J$3&gt;0,$A22&gt;=Calc!J$1,$A22&lt;Calc!J$2),AND(Calc!I$3&gt;0,$J22&gt;=Calc!I$1,$J22&lt;Calc!I$2)),SUMPRODUCT((Calc!X$6:X$105&lt;=$A22)*(Calc!AE$6:AE$105&gt;$A22))+SUMPRODUCT((Calc!W$6:W$105&lt;=$J22)*(Calc!AD$6:AD$105&gt;$J22)),"")</f>
        <v>4</v>
      </c>
      <c r="G22" s="13" t="n">
        <f aca="false">IF(OR(AND(Calc!K$3&gt;0,$A22&gt;=Calc!K$1,$A22&lt;Calc!K$2),AND(Calc!J$3&gt;0,$J22&gt;=Calc!J$1,$J22&lt;Calc!J$2)),SUMPRODUCT((Calc!Y$6:Y$105&lt;=$A22)*(Calc!AF$6:AF$105&gt;$A22))+SUMPRODUCT((Calc!X$6:X$105&lt;=$J22)*(Calc!AE$6:AE$105&gt;$J22)),"")</f>
        <v>4</v>
      </c>
      <c r="H22" s="13" t="n">
        <f aca="false">IF(OR(AND(Calc!L$3&gt;0,$A22&gt;=Calc!L$1,$A22&lt;Calc!L$2),AND(Calc!K$3&gt;0,$J22&gt;=Calc!K$1,$J22&lt;Calc!K$2)),SUMPRODUCT((Calc!Z$6:Z$105&lt;=$A22)*(Calc!AG$6:AG$105&gt;$A22))+SUMPRODUCT((Calc!Y$6:Y$105&lt;=$J22)*(Calc!AF$6:AF$105&gt;$J22)),"")</f>
        <v>3</v>
      </c>
      <c r="J22" s="14" t="n">
        <f aca="false">1920/1440</f>
        <v>1.33333333333333</v>
      </c>
    </row>
    <row r="23" customFormat="false" ht="15" hidden="false" customHeight="false" outlineLevel="0" collapsed="false">
      <c r="A23" s="15" t="n">
        <f aca="false">510/1440</f>
        <v>0.354166666666667</v>
      </c>
      <c r="B23" s="13" t="n">
        <f aca="false">IF(OR(AND(Calc!F$3&gt;0,$A23&gt;=Calc!F$1,$A23&lt;Calc!F$2),AND(Calc!L$3&gt;0,$J23&gt;=Calc!L$1,$J23&lt;Calc!L$2)),SUMPRODUCT((Calc!T$6:T$105&lt;=$A23)*(Calc!AA$6:AA$105&gt;$A23))+SUMPRODUCT((Calc!Z$6:Z$105&lt;=$J23)*(Calc!AG$6:AG$105&gt;$J23)),"")</f>
        <v>4</v>
      </c>
      <c r="C23" s="13" t="n">
        <f aca="false">IF(OR(AND(Calc!G$3&gt;0,$A23&gt;=Calc!G$1,$A23&lt;Calc!G$2),AND(Calc!F$3&gt;0,$J23&gt;=Calc!F$1,$J23&lt;Calc!F$2)),SUMPRODUCT((Calc!U$6:U$105&lt;=$A23)*(Calc!AB$6:AB$105&gt;$A23))+SUMPRODUCT((Calc!T$6:T$105&lt;=$J23)*(Calc!AA$6:AA$105&gt;$J23)),"")</f>
        <v>4</v>
      </c>
      <c r="D23" s="13" t="n">
        <f aca="false">IF(OR(AND(Calc!H$3&gt;0,$A23&gt;=Calc!H$1,$A23&lt;Calc!H$2),AND(Calc!G$3&gt;0,$J23&gt;=Calc!G$1,$J23&lt;Calc!G$2)),SUMPRODUCT((Calc!V$6:V$105&lt;=$A23)*(Calc!AC$6:AC$105&gt;$A23))+SUMPRODUCT((Calc!U$6:U$105&lt;=$J23)*(Calc!AB$6:AB$105&gt;$J23)),"")</f>
        <v>5</v>
      </c>
      <c r="E23" s="13" t="n">
        <f aca="false">IF(OR(AND(Calc!I$3&gt;0,$A23&gt;=Calc!I$1,$A23&lt;Calc!I$2),AND(Calc!H$3&gt;0,$J23&gt;=Calc!H$1,$J23&lt;Calc!H$2)),SUMPRODUCT((Calc!W$6:W$105&lt;=$A23)*(Calc!AD$6:AD$105&gt;$A23))+SUMPRODUCT((Calc!V$6:V$105&lt;=$J23)*(Calc!AC$6:AC$105&gt;$J23)),"")</f>
        <v>4</v>
      </c>
      <c r="F23" s="13" t="n">
        <f aca="false">IF(OR(AND(Calc!J$3&gt;0,$A23&gt;=Calc!J$1,$A23&lt;Calc!J$2),AND(Calc!I$3&gt;0,$J23&gt;=Calc!I$1,$J23&lt;Calc!I$2)),SUMPRODUCT((Calc!X$6:X$105&lt;=$A23)*(Calc!AE$6:AE$105&gt;$A23))+SUMPRODUCT((Calc!W$6:W$105&lt;=$J23)*(Calc!AD$6:AD$105&gt;$J23)),"")</f>
        <v>5</v>
      </c>
      <c r="G23" s="13" t="n">
        <f aca="false">IF(OR(AND(Calc!K$3&gt;0,$A23&gt;=Calc!K$1,$A23&lt;Calc!K$2),AND(Calc!J$3&gt;0,$J23&gt;=Calc!J$1,$J23&lt;Calc!J$2)),SUMPRODUCT((Calc!Y$6:Y$105&lt;=$A23)*(Calc!AF$6:AF$105&gt;$A23))+SUMPRODUCT((Calc!X$6:X$105&lt;=$J23)*(Calc!AE$6:AE$105&gt;$J23)),"")</f>
        <v>4</v>
      </c>
      <c r="H23" s="13" t="n">
        <f aca="false">IF(OR(AND(Calc!L$3&gt;0,$A23&gt;=Calc!L$1,$A23&lt;Calc!L$2),AND(Calc!K$3&gt;0,$J23&gt;=Calc!K$1,$J23&lt;Calc!K$2)),SUMPRODUCT((Calc!Z$6:Z$105&lt;=$A23)*(Calc!AG$6:AG$105&gt;$A23))+SUMPRODUCT((Calc!Y$6:Y$105&lt;=$J23)*(Calc!AF$6:AF$105&gt;$J23)),"")</f>
        <v>4</v>
      </c>
      <c r="J23" s="14" t="n">
        <f aca="false">1950/1440</f>
        <v>1.35416666666667</v>
      </c>
    </row>
    <row r="24" customFormat="false" ht="15" hidden="false" customHeight="false" outlineLevel="0" collapsed="false">
      <c r="A24" s="15" t="n">
        <f aca="false">540/1440</f>
        <v>0.375</v>
      </c>
      <c r="B24" s="13" t="n">
        <f aca="false">IF(OR(AND(Calc!F$3&gt;0,$A24&gt;=Calc!F$1,$A24&lt;Calc!F$2),AND(Calc!L$3&gt;0,$J24&gt;=Calc!L$1,$J24&lt;Calc!L$2)),SUMPRODUCT((Calc!T$6:T$105&lt;=$A24)*(Calc!AA$6:AA$105&gt;$A24))+SUMPRODUCT((Calc!Z$6:Z$105&lt;=$J24)*(Calc!AG$6:AG$105&gt;$J24)),"")</f>
        <v>5</v>
      </c>
      <c r="C24" s="13" t="n">
        <f aca="false">IF(OR(AND(Calc!G$3&gt;0,$A24&gt;=Calc!G$1,$A24&lt;Calc!G$2),AND(Calc!F$3&gt;0,$J24&gt;=Calc!F$1,$J24&lt;Calc!F$2)),SUMPRODUCT((Calc!U$6:U$105&lt;=$A24)*(Calc!AB$6:AB$105&gt;$A24))+SUMPRODUCT((Calc!T$6:T$105&lt;=$J24)*(Calc!AA$6:AA$105&gt;$J24)),"")</f>
        <v>5</v>
      </c>
      <c r="D24" s="13" t="n">
        <f aca="false">IF(OR(AND(Calc!H$3&gt;0,$A24&gt;=Calc!H$1,$A24&lt;Calc!H$2),AND(Calc!G$3&gt;0,$J24&gt;=Calc!G$1,$J24&lt;Calc!G$2)),SUMPRODUCT((Calc!V$6:V$105&lt;=$A24)*(Calc!AC$6:AC$105&gt;$A24))+SUMPRODUCT((Calc!U$6:U$105&lt;=$J24)*(Calc!AB$6:AB$105&gt;$J24)),"")</f>
        <v>6</v>
      </c>
      <c r="E24" s="13" t="n">
        <f aca="false">IF(OR(AND(Calc!I$3&gt;0,$A24&gt;=Calc!I$1,$A24&lt;Calc!I$2),AND(Calc!H$3&gt;0,$J24&gt;=Calc!H$1,$J24&lt;Calc!H$2)),SUMPRODUCT((Calc!W$6:W$105&lt;=$A24)*(Calc!AD$6:AD$105&gt;$A24))+SUMPRODUCT((Calc!V$6:V$105&lt;=$J24)*(Calc!AC$6:AC$105&gt;$J24)),"")</f>
        <v>5</v>
      </c>
      <c r="F24" s="13" t="n">
        <f aca="false">IF(OR(AND(Calc!J$3&gt;0,$A24&gt;=Calc!J$1,$A24&lt;Calc!J$2),AND(Calc!I$3&gt;0,$J24&gt;=Calc!I$1,$J24&lt;Calc!I$2)),SUMPRODUCT((Calc!X$6:X$105&lt;=$A24)*(Calc!AE$6:AE$105&gt;$A24))+SUMPRODUCT((Calc!W$6:W$105&lt;=$J24)*(Calc!AD$6:AD$105&gt;$J24)),"")</f>
        <v>6</v>
      </c>
      <c r="G24" s="13" t="n">
        <f aca="false">IF(OR(AND(Calc!K$3&gt;0,$A24&gt;=Calc!K$1,$A24&lt;Calc!K$2),AND(Calc!J$3&gt;0,$J24&gt;=Calc!J$1,$J24&lt;Calc!J$2)),SUMPRODUCT((Calc!Y$6:Y$105&lt;=$A24)*(Calc!AF$6:AF$105&gt;$A24))+SUMPRODUCT((Calc!X$6:X$105&lt;=$J24)*(Calc!AE$6:AE$105&gt;$J24)),"")</f>
        <v>5</v>
      </c>
      <c r="H24" s="13" t="n">
        <f aca="false">IF(OR(AND(Calc!L$3&gt;0,$A24&gt;=Calc!L$1,$A24&lt;Calc!L$2),AND(Calc!K$3&gt;0,$J24&gt;=Calc!K$1,$J24&lt;Calc!K$2)),SUMPRODUCT((Calc!Z$6:Z$105&lt;=$A24)*(Calc!AG$6:AG$105&gt;$A24))+SUMPRODUCT((Calc!Y$6:Y$105&lt;=$J24)*(Calc!AF$6:AF$105&gt;$J24)),"")</f>
        <v>4</v>
      </c>
      <c r="J24" s="14" t="n">
        <f aca="false">1980/1440</f>
        <v>1.375</v>
      </c>
    </row>
    <row r="25" customFormat="false" ht="15" hidden="false" customHeight="false" outlineLevel="0" collapsed="false">
      <c r="A25" s="15" t="n">
        <f aca="false">570/1440</f>
        <v>0.395833333333333</v>
      </c>
      <c r="B25" s="13" t="n">
        <f aca="false">IF(OR(AND(Calc!F$3&gt;0,$A25&gt;=Calc!F$1,$A25&lt;Calc!F$2),AND(Calc!L$3&gt;0,$J25&gt;=Calc!L$1,$J25&lt;Calc!L$2)),SUMPRODUCT((Calc!T$6:T$105&lt;=$A25)*(Calc!AA$6:AA$105&gt;$A25))+SUMPRODUCT((Calc!Z$6:Z$105&lt;=$J25)*(Calc!AG$6:AG$105&gt;$J25)),"")</f>
        <v>6</v>
      </c>
      <c r="C25" s="13" t="n">
        <f aca="false">IF(OR(AND(Calc!G$3&gt;0,$A25&gt;=Calc!G$1,$A25&lt;Calc!G$2),AND(Calc!F$3&gt;0,$J25&gt;=Calc!F$1,$J25&lt;Calc!F$2)),SUMPRODUCT((Calc!U$6:U$105&lt;=$A25)*(Calc!AB$6:AB$105&gt;$A25))+SUMPRODUCT((Calc!T$6:T$105&lt;=$J25)*(Calc!AA$6:AA$105&gt;$J25)),"")</f>
        <v>6</v>
      </c>
      <c r="D25" s="13" t="n">
        <f aca="false">IF(OR(AND(Calc!H$3&gt;0,$A25&gt;=Calc!H$1,$A25&lt;Calc!H$2),AND(Calc!G$3&gt;0,$J25&gt;=Calc!G$1,$J25&lt;Calc!G$2)),SUMPRODUCT((Calc!V$6:V$105&lt;=$A25)*(Calc!AC$6:AC$105&gt;$A25))+SUMPRODUCT((Calc!U$6:U$105&lt;=$J25)*(Calc!AB$6:AB$105&gt;$J25)),"")</f>
        <v>7</v>
      </c>
      <c r="E25" s="13" t="n">
        <f aca="false">IF(OR(AND(Calc!I$3&gt;0,$A25&gt;=Calc!I$1,$A25&lt;Calc!I$2),AND(Calc!H$3&gt;0,$J25&gt;=Calc!H$1,$J25&lt;Calc!H$2)),SUMPRODUCT((Calc!W$6:W$105&lt;=$A25)*(Calc!AD$6:AD$105&gt;$A25))+SUMPRODUCT((Calc!V$6:V$105&lt;=$J25)*(Calc!AC$6:AC$105&gt;$J25)),"")</f>
        <v>6</v>
      </c>
      <c r="F25" s="13" t="n">
        <f aca="false">IF(OR(AND(Calc!J$3&gt;0,$A25&gt;=Calc!J$1,$A25&lt;Calc!J$2),AND(Calc!I$3&gt;0,$J25&gt;=Calc!I$1,$J25&lt;Calc!I$2)),SUMPRODUCT((Calc!X$6:X$105&lt;=$A25)*(Calc!AE$6:AE$105&gt;$A25))+SUMPRODUCT((Calc!W$6:W$105&lt;=$J25)*(Calc!AD$6:AD$105&gt;$J25)),"")</f>
        <v>7</v>
      </c>
      <c r="G25" s="13" t="n">
        <f aca="false">IF(OR(AND(Calc!K$3&gt;0,$A25&gt;=Calc!K$1,$A25&lt;Calc!K$2),AND(Calc!J$3&gt;0,$J25&gt;=Calc!J$1,$J25&lt;Calc!J$2)),SUMPRODUCT((Calc!Y$6:Y$105&lt;=$A25)*(Calc!AF$6:AF$105&gt;$A25))+SUMPRODUCT((Calc!X$6:X$105&lt;=$J25)*(Calc!AE$6:AE$105&gt;$J25)),"")</f>
        <v>6</v>
      </c>
      <c r="H25" s="13" t="n">
        <f aca="false">IF(OR(AND(Calc!L$3&gt;0,$A25&gt;=Calc!L$1,$A25&lt;Calc!L$2),AND(Calc!K$3&gt;0,$J25&gt;=Calc!K$1,$J25&lt;Calc!K$2)),SUMPRODUCT((Calc!Z$6:Z$105&lt;=$A25)*(Calc!AG$6:AG$105&gt;$A25))+SUMPRODUCT((Calc!Y$6:Y$105&lt;=$J25)*(Calc!AF$6:AF$105&gt;$J25)),"")</f>
        <v>5</v>
      </c>
      <c r="J25" s="14" t="n">
        <f aca="false">2010/1440</f>
        <v>1.39583333333333</v>
      </c>
    </row>
    <row r="26" customFormat="false" ht="15" hidden="false" customHeight="false" outlineLevel="0" collapsed="false">
      <c r="A26" s="15" t="n">
        <f aca="false">600/1440</f>
        <v>0.416666666666667</v>
      </c>
      <c r="B26" s="13" t="n">
        <f aca="false">IF(OR(AND(Calc!F$3&gt;0,$A26&gt;=Calc!F$1,$A26&lt;Calc!F$2),AND(Calc!L$3&gt;0,$J26&gt;=Calc!L$1,$J26&lt;Calc!L$2)),SUMPRODUCT((Calc!T$6:T$105&lt;=$A26)*(Calc!AA$6:AA$105&gt;$A26))+SUMPRODUCT((Calc!Z$6:Z$105&lt;=$J26)*(Calc!AG$6:AG$105&gt;$J26)),"")</f>
        <v>7</v>
      </c>
      <c r="C26" s="13" t="n">
        <f aca="false">IF(OR(AND(Calc!G$3&gt;0,$A26&gt;=Calc!G$1,$A26&lt;Calc!G$2),AND(Calc!F$3&gt;0,$J26&gt;=Calc!F$1,$J26&lt;Calc!F$2)),SUMPRODUCT((Calc!U$6:U$105&lt;=$A26)*(Calc!AB$6:AB$105&gt;$A26))+SUMPRODUCT((Calc!T$6:T$105&lt;=$J26)*(Calc!AA$6:AA$105&gt;$J26)),"")</f>
        <v>7</v>
      </c>
      <c r="D26" s="13" t="n">
        <f aca="false">IF(OR(AND(Calc!H$3&gt;0,$A26&gt;=Calc!H$1,$A26&lt;Calc!H$2),AND(Calc!G$3&gt;0,$J26&gt;=Calc!G$1,$J26&lt;Calc!G$2)),SUMPRODUCT((Calc!V$6:V$105&lt;=$A26)*(Calc!AC$6:AC$105&gt;$A26))+SUMPRODUCT((Calc!U$6:U$105&lt;=$J26)*(Calc!AB$6:AB$105&gt;$J26)),"")</f>
        <v>8</v>
      </c>
      <c r="E26" s="13" t="n">
        <f aca="false">IF(OR(AND(Calc!I$3&gt;0,$A26&gt;=Calc!I$1,$A26&lt;Calc!I$2),AND(Calc!H$3&gt;0,$J26&gt;=Calc!H$1,$J26&lt;Calc!H$2)),SUMPRODUCT((Calc!W$6:W$105&lt;=$A26)*(Calc!AD$6:AD$105&gt;$A26))+SUMPRODUCT((Calc!V$6:V$105&lt;=$J26)*(Calc!AC$6:AC$105&gt;$J26)),"")</f>
        <v>7</v>
      </c>
      <c r="F26" s="13" t="n">
        <f aca="false">IF(OR(AND(Calc!J$3&gt;0,$A26&gt;=Calc!J$1,$A26&lt;Calc!J$2),AND(Calc!I$3&gt;0,$J26&gt;=Calc!I$1,$J26&lt;Calc!I$2)),SUMPRODUCT((Calc!X$6:X$105&lt;=$A26)*(Calc!AE$6:AE$105&gt;$A26))+SUMPRODUCT((Calc!W$6:W$105&lt;=$J26)*(Calc!AD$6:AD$105&gt;$J26)),"")</f>
        <v>8</v>
      </c>
      <c r="G26" s="13" t="n">
        <f aca="false">IF(OR(AND(Calc!K$3&gt;0,$A26&gt;=Calc!K$1,$A26&lt;Calc!K$2),AND(Calc!J$3&gt;0,$J26&gt;=Calc!J$1,$J26&lt;Calc!J$2)),SUMPRODUCT((Calc!Y$6:Y$105&lt;=$A26)*(Calc!AF$6:AF$105&gt;$A26))+SUMPRODUCT((Calc!X$6:X$105&lt;=$J26)*(Calc!AE$6:AE$105&gt;$J26)),"")</f>
        <v>7</v>
      </c>
      <c r="H26" s="13" t="n">
        <f aca="false">IF(OR(AND(Calc!L$3&gt;0,$A26&gt;=Calc!L$1,$A26&lt;Calc!L$2),AND(Calc!K$3&gt;0,$J26&gt;=Calc!K$1,$J26&lt;Calc!K$2)),SUMPRODUCT((Calc!Z$6:Z$105&lt;=$A26)*(Calc!AG$6:AG$105&gt;$A26))+SUMPRODUCT((Calc!Y$6:Y$105&lt;=$J26)*(Calc!AF$6:AF$105&gt;$J26)),"")</f>
        <v>6</v>
      </c>
      <c r="J26" s="14" t="n">
        <f aca="false">2040/1440</f>
        <v>1.41666666666667</v>
      </c>
    </row>
    <row r="27" customFormat="false" ht="15" hidden="false" customHeight="false" outlineLevel="0" collapsed="false">
      <c r="A27" s="15" t="n">
        <f aca="false">630/1440</f>
        <v>0.4375</v>
      </c>
      <c r="B27" s="13" t="n">
        <f aca="false">IF(OR(AND(Calc!F$3&gt;0,$A27&gt;=Calc!F$1,$A27&lt;Calc!F$2),AND(Calc!L$3&gt;0,$J27&gt;=Calc!L$1,$J27&lt;Calc!L$2)),SUMPRODUCT((Calc!T$6:T$105&lt;=$A27)*(Calc!AA$6:AA$105&gt;$A27))+SUMPRODUCT((Calc!Z$6:Z$105&lt;=$J27)*(Calc!AG$6:AG$105&gt;$J27)),"")</f>
        <v>7</v>
      </c>
      <c r="C27" s="13" t="n">
        <f aca="false">IF(OR(AND(Calc!G$3&gt;0,$A27&gt;=Calc!G$1,$A27&lt;Calc!G$2),AND(Calc!F$3&gt;0,$J27&gt;=Calc!F$1,$J27&lt;Calc!F$2)),SUMPRODUCT((Calc!U$6:U$105&lt;=$A27)*(Calc!AB$6:AB$105&gt;$A27))+SUMPRODUCT((Calc!T$6:T$105&lt;=$J27)*(Calc!AA$6:AA$105&gt;$J27)),"")</f>
        <v>7</v>
      </c>
      <c r="D27" s="13" t="n">
        <f aca="false">IF(OR(AND(Calc!H$3&gt;0,$A27&gt;=Calc!H$1,$A27&lt;Calc!H$2),AND(Calc!G$3&gt;0,$J27&gt;=Calc!G$1,$J27&lt;Calc!G$2)),SUMPRODUCT((Calc!V$6:V$105&lt;=$A27)*(Calc!AC$6:AC$105&gt;$A27))+SUMPRODUCT((Calc!U$6:U$105&lt;=$J27)*(Calc!AB$6:AB$105&gt;$J27)),"")</f>
        <v>8</v>
      </c>
      <c r="E27" s="13" t="n">
        <f aca="false">IF(OR(AND(Calc!I$3&gt;0,$A27&gt;=Calc!I$1,$A27&lt;Calc!I$2),AND(Calc!H$3&gt;0,$J27&gt;=Calc!H$1,$J27&lt;Calc!H$2)),SUMPRODUCT((Calc!W$6:W$105&lt;=$A27)*(Calc!AD$6:AD$105&gt;$A27))+SUMPRODUCT((Calc!V$6:V$105&lt;=$J27)*(Calc!AC$6:AC$105&gt;$J27)),"")</f>
        <v>7</v>
      </c>
      <c r="F27" s="13" t="n">
        <f aca="false">IF(OR(AND(Calc!J$3&gt;0,$A27&gt;=Calc!J$1,$A27&lt;Calc!J$2),AND(Calc!I$3&gt;0,$J27&gt;=Calc!I$1,$J27&lt;Calc!I$2)),SUMPRODUCT((Calc!X$6:X$105&lt;=$A27)*(Calc!AE$6:AE$105&gt;$A27))+SUMPRODUCT((Calc!W$6:W$105&lt;=$J27)*(Calc!AD$6:AD$105&gt;$J27)),"")</f>
        <v>8</v>
      </c>
      <c r="G27" s="13" t="n">
        <f aca="false">IF(OR(AND(Calc!K$3&gt;0,$A27&gt;=Calc!K$1,$A27&lt;Calc!K$2),AND(Calc!J$3&gt;0,$J27&gt;=Calc!J$1,$J27&lt;Calc!J$2)),SUMPRODUCT((Calc!Y$6:Y$105&lt;=$A27)*(Calc!AF$6:AF$105&gt;$A27))+SUMPRODUCT((Calc!X$6:X$105&lt;=$J27)*(Calc!AE$6:AE$105&gt;$J27)),"")</f>
        <v>7</v>
      </c>
      <c r="H27" s="13" t="n">
        <f aca="false">IF(OR(AND(Calc!L$3&gt;0,$A27&gt;=Calc!L$1,$A27&lt;Calc!L$2),AND(Calc!K$3&gt;0,$J27&gt;=Calc!K$1,$J27&lt;Calc!K$2)),SUMPRODUCT((Calc!Z$6:Z$105&lt;=$A27)*(Calc!AG$6:AG$105&gt;$A27))+SUMPRODUCT((Calc!Y$6:Y$105&lt;=$J27)*(Calc!AF$6:AF$105&gt;$J27)),"")</f>
        <v>6</v>
      </c>
      <c r="J27" s="14" t="n">
        <f aca="false">2070/1440</f>
        <v>1.4375</v>
      </c>
    </row>
    <row r="28" customFormat="false" ht="15" hidden="false" customHeight="false" outlineLevel="0" collapsed="false">
      <c r="A28" s="15" t="n">
        <f aca="false">660/1440</f>
        <v>0.458333333333333</v>
      </c>
      <c r="B28" s="13" t="n">
        <f aca="false">IF(OR(AND(Calc!F$3&gt;0,$A28&gt;=Calc!F$1,$A28&lt;Calc!F$2),AND(Calc!L$3&gt;0,$J28&gt;=Calc!L$1,$J28&lt;Calc!L$2)),SUMPRODUCT((Calc!T$6:T$105&lt;=$A28)*(Calc!AA$6:AA$105&gt;$A28))+SUMPRODUCT((Calc!Z$6:Z$105&lt;=$J28)*(Calc!AG$6:AG$105&gt;$J28)),"")</f>
        <v>7</v>
      </c>
      <c r="C28" s="13" t="n">
        <f aca="false">IF(OR(AND(Calc!G$3&gt;0,$A28&gt;=Calc!G$1,$A28&lt;Calc!G$2),AND(Calc!F$3&gt;0,$J28&gt;=Calc!F$1,$J28&lt;Calc!F$2)),SUMPRODUCT((Calc!U$6:U$105&lt;=$A28)*(Calc!AB$6:AB$105&gt;$A28))+SUMPRODUCT((Calc!T$6:T$105&lt;=$J28)*(Calc!AA$6:AA$105&gt;$J28)),"")</f>
        <v>7</v>
      </c>
      <c r="D28" s="13" t="n">
        <f aca="false">IF(OR(AND(Calc!H$3&gt;0,$A28&gt;=Calc!H$1,$A28&lt;Calc!H$2),AND(Calc!G$3&gt;0,$J28&gt;=Calc!G$1,$J28&lt;Calc!G$2)),SUMPRODUCT((Calc!V$6:V$105&lt;=$A28)*(Calc!AC$6:AC$105&gt;$A28))+SUMPRODUCT((Calc!U$6:U$105&lt;=$J28)*(Calc!AB$6:AB$105&gt;$J28)),"")</f>
        <v>8</v>
      </c>
      <c r="E28" s="13" t="n">
        <f aca="false">IF(OR(AND(Calc!I$3&gt;0,$A28&gt;=Calc!I$1,$A28&lt;Calc!I$2),AND(Calc!H$3&gt;0,$J28&gt;=Calc!H$1,$J28&lt;Calc!H$2)),SUMPRODUCT((Calc!W$6:W$105&lt;=$A28)*(Calc!AD$6:AD$105&gt;$A28))+SUMPRODUCT((Calc!V$6:V$105&lt;=$J28)*(Calc!AC$6:AC$105&gt;$J28)),"")</f>
        <v>7</v>
      </c>
      <c r="F28" s="13" t="n">
        <f aca="false">IF(OR(AND(Calc!J$3&gt;0,$A28&gt;=Calc!J$1,$A28&lt;Calc!J$2),AND(Calc!I$3&gt;0,$J28&gt;=Calc!I$1,$J28&lt;Calc!I$2)),SUMPRODUCT((Calc!X$6:X$105&lt;=$A28)*(Calc!AE$6:AE$105&gt;$A28))+SUMPRODUCT((Calc!W$6:W$105&lt;=$J28)*(Calc!AD$6:AD$105&gt;$J28)),"")</f>
        <v>8</v>
      </c>
      <c r="G28" s="13" t="n">
        <f aca="false">IF(OR(AND(Calc!K$3&gt;0,$A28&gt;=Calc!K$1,$A28&lt;Calc!K$2),AND(Calc!J$3&gt;0,$J28&gt;=Calc!J$1,$J28&lt;Calc!J$2)),SUMPRODUCT((Calc!Y$6:Y$105&lt;=$A28)*(Calc!AF$6:AF$105&gt;$A28))+SUMPRODUCT((Calc!X$6:X$105&lt;=$J28)*(Calc!AE$6:AE$105&gt;$J28)),"")</f>
        <v>7</v>
      </c>
      <c r="H28" s="13" t="n">
        <f aca="false">IF(OR(AND(Calc!L$3&gt;0,$A28&gt;=Calc!L$1,$A28&lt;Calc!L$2),AND(Calc!K$3&gt;0,$J28&gt;=Calc!K$1,$J28&lt;Calc!K$2)),SUMPRODUCT((Calc!Z$6:Z$105&lt;=$A28)*(Calc!AG$6:AG$105&gt;$A28))+SUMPRODUCT((Calc!Y$6:Y$105&lt;=$J28)*(Calc!AF$6:AF$105&gt;$J28)),"")</f>
        <v>6</v>
      </c>
      <c r="J28" s="14" t="n">
        <f aca="false">2100/1440</f>
        <v>1.45833333333333</v>
      </c>
    </row>
    <row r="29" customFormat="false" ht="15" hidden="false" customHeight="false" outlineLevel="0" collapsed="false">
      <c r="A29" s="15" t="n">
        <f aca="false">690/1440</f>
        <v>0.479166666666667</v>
      </c>
      <c r="B29" s="13" t="n">
        <f aca="false">IF(OR(AND(Calc!F$3&gt;0,$A29&gt;=Calc!F$1,$A29&lt;Calc!F$2),AND(Calc!L$3&gt;0,$J29&gt;=Calc!L$1,$J29&lt;Calc!L$2)),SUMPRODUCT((Calc!T$6:T$105&lt;=$A29)*(Calc!AA$6:AA$105&gt;$A29))+SUMPRODUCT((Calc!Z$6:Z$105&lt;=$J29)*(Calc!AG$6:AG$105&gt;$J29)),"")</f>
        <v>7</v>
      </c>
      <c r="C29" s="13" t="n">
        <f aca="false">IF(OR(AND(Calc!G$3&gt;0,$A29&gt;=Calc!G$1,$A29&lt;Calc!G$2),AND(Calc!F$3&gt;0,$J29&gt;=Calc!F$1,$J29&lt;Calc!F$2)),SUMPRODUCT((Calc!U$6:U$105&lt;=$A29)*(Calc!AB$6:AB$105&gt;$A29))+SUMPRODUCT((Calc!T$6:T$105&lt;=$J29)*(Calc!AA$6:AA$105&gt;$J29)),"")</f>
        <v>7</v>
      </c>
      <c r="D29" s="13" t="n">
        <f aca="false">IF(OR(AND(Calc!H$3&gt;0,$A29&gt;=Calc!H$1,$A29&lt;Calc!H$2),AND(Calc!G$3&gt;0,$J29&gt;=Calc!G$1,$J29&lt;Calc!G$2)),SUMPRODUCT((Calc!V$6:V$105&lt;=$A29)*(Calc!AC$6:AC$105&gt;$A29))+SUMPRODUCT((Calc!U$6:U$105&lt;=$J29)*(Calc!AB$6:AB$105&gt;$J29)),"")</f>
        <v>8</v>
      </c>
      <c r="E29" s="13" t="n">
        <f aca="false">IF(OR(AND(Calc!I$3&gt;0,$A29&gt;=Calc!I$1,$A29&lt;Calc!I$2),AND(Calc!H$3&gt;0,$J29&gt;=Calc!H$1,$J29&lt;Calc!H$2)),SUMPRODUCT((Calc!W$6:W$105&lt;=$A29)*(Calc!AD$6:AD$105&gt;$A29))+SUMPRODUCT((Calc!V$6:V$105&lt;=$J29)*(Calc!AC$6:AC$105&gt;$J29)),"")</f>
        <v>7</v>
      </c>
      <c r="F29" s="13" t="n">
        <f aca="false">IF(OR(AND(Calc!J$3&gt;0,$A29&gt;=Calc!J$1,$A29&lt;Calc!J$2),AND(Calc!I$3&gt;0,$J29&gt;=Calc!I$1,$J29&lt;Calc!I$2)),SUMPRODUCT((Calc!X$6:X$105&lt;=$A29)*(Calc!AE$6:AE$105&gt;$A29))+SUMPRODUCT((Calc!W$6:W$105&lt;=$J29)*(Calc!AD$6:AD$105&gt;$J29)),"")</f>
        <v>8</v>
      </c>
      <c r="G29" s="13" t="n">
        <f aca="false">IF(OR(AND(Calc!K$3&gt;0,$A29&gt;=Calc!K$1,$A29&lt;Calc!K$2),AND(Calc!J$3&gt;0,$J29&gt;=Calc!J$1,$J29&lt;Calc!J$2)),SUMPRODUCT((Calc!Y$6:Y$105&lt;=$A29)*(Calc!AF$6:AF$105&gt;$A29))+SUMPRODUCT((Calc!X$6:X$105&lt;=$J29)*(Calc!AE$6:AE$105&gt;$J29)),"")</f>
        <v>7</v>
      </c>
      <c r="H29" s="13" t="n">
        <f aca="false">IF(OR(AND(Calc!L$3&gt;0,$A29&gt;=Calc!L$1,$A29&lt;Calc!L$2),AND(Calc!K$3&gt;0,$J29&gt;=Calc!K$1,$J29&lt;Calc!K$2)),SUMPRODUCT((Calc!Z$6:Z$105&lt;=$A29)*(Calc!AG$6:AG$105&gt;$A29))+SUMPRODUCT((Calc!Y$6:Y$105&lt;=$J29)*(Calc!AF$6:AF$105&gt;$J29)),"")</f>
        <v>6</v>
      </c>
      <c r="J29" s="14" t="n">
        <f aca="false">2130/1440</f>
        <v>1.47916666666667</v>
      </c>
    </row>
    <row r="30" customFormat="false" ht="15" hidden="false" customHeight="false" outlineLevel="0" collapsed="false">
      <c r="A30" s="15" t="n">
        <f aca="false">720/1440</f>
        <v>0.5</v>
      </c>
      <c r="B30" s="13" t="n">
        <f aca="false">IF(OR(AND(Calc!F$3&gt;0,$A30&gt;=Calc!F$1,$A30&lt;Calc!F$2),AND(Calc!L$3&gt;0,$J30&gt;=Calc!L$1,$J30&lt;Calc!L$2)),SUMPRODUCT((Calc!T$6:T$105&lt;=$A30)*(Calc!AA$6:AA$105&gt;$A30))+SUMPRODUCT((Calc!Z$6:Z$105&lt;=$J30)*(Calc!AG$6:AG$105&gt;$J30)),"")</f>
        <v>7</v>
      </c>
      <c r="C30" s="13" t="n">
        <f aca="false">IF(OR(AND(Calc!G$3&gt;0,$A30&gt;=Calc!G$1,$A30&lt;Calc!G$2),AND(Calc!F$3&gt;0,$J30&gt;=Calc!F$1,$J30&lt;Calc!F$2)),SUMPRODUCT((Calc!U$6:U$105&lt;=$A30)*(Calc!AB$6:AB$105&gt;$A30))+SUMPRODUCT((Calc!T$6:T$105&lt;=$J30)*(Calc!AA$6:AA$105&gt;$J30)),"")</f>
        <v>7</v>
      </c>
      <c r="D30" s="13" t="n">
        <f aca="false">IF(OR(AND(Calc!H$3&gt;0,$A30&gt;=Calc!H$1,$A30&lt;Calc!H$2),AND(Calc!G$3&gt;0,$J30&gt;=Calc!G$1,$J30&lt;Calc!G$2)),SUMPRODUCT((Calc!V$6:V$105&lt;=$A30)*(Calc!AC$6:AC$105&gt;$A30))+SUMPRODUCT((Calc!U$6:U$105&lt;=$J30)*(Calc!AB$6:AB$105&gt;$J30)),"")</f>
        <v>8</v>
      </c>
      <c r="E30" s="13" t="n">
        <f aca="false">IF(OR(AND(Calc!I$3&gt;0,$A30&gt;=Calc!I$1,$A30&lt;Calc!I$2),AND(Calc!H$3&gt;0,$J30&gt;=Calc!H$1,$J30&lt;Calc!H$2)),SUMPRODUCT((Calc!W$6:W$105&lt;=$A30)*(Calc!AD$6:AD$105&gt;$A30))+SUMPRODUCT((Calc!V$6:V$105&lt;=$J30)*(Calc!AC$6:AC$105&gt;$J30)),"")</f>
        <v>7</v>
      </c>
      <c r="F30" s="13" t="n">
        <f aca="false">IF(OR(AND(Calc!J$3&gt;0,$A30&gt;=Calc!J$1,$A30&lt;Calc!J$2),AND(Calc!I$3&gt;0,$J30&gt;=Calc!I$1,$J30&lt;Calc!I$2)),SUMPRODUCT((Calc!X$6:X$105&lt;=$A30)*(Calc!AE$6:AE$105&gt;$A30))+SUMPRODUCT((Calc!W$6:W$105&lt;=$J30)*(Calc!AD$6:AD$105&gt;$J30)),"")</f>
        <v>8</v>
      </c>
      <c r="G30" s="13" t="n">
        <f aca="false">IF(OR(AND(Calc!K$3&gt;0,$A30&gt;=Calc!K$1,$A30&lt;Calc!K$2),AND(Calc!J$3&gt;0,$J30&gt;=Calc!J$1,$J30&lt;Calc!J$2)),SUMPRODUCT((Calc!Y$6:Y$105&lt;=$A30)*(Calc!AF$6:AF$105&gt;$A30))+SUMPRODUCT((Calc!X$6:X$105&lt;=$J30)*(Calc!AE$6:AE$105&gt;$J30)),"")</f>
        <v>7</v>
      </c>
      <c r="H30" s="13" t="n">
        <f aca="false">IF(OR(AND(Calc!L$3&gt;0,$A30&gt;=Calc!L$1,$A30&lt;Calc!L$2),AND(Calc!K$3&gt;0,$J30&gt;=Calc!K$1,$J30&lt;Calc!K$2)),SUMPRODUCT((Calc!Z$6:Z$105&lt;=$A30)*(Calc!AG$6:AG$105&gt;$A30))+SUMPRODUCT((Calc!Y$6:Y$105&lt;=$J30)*(Calc!AF$6:AF$105&gt;$J30)),"")</f>
        <v>6</v>
      </c>
      <c r="J30" s="14" t="n">
        <f aca="false">2160/1440</f>
        <v>1.5</v>
      </c>
    </row>
    <row r="31" customFormat="false" ht="15" hidden="false" customHeight="false" outlineLevel="0" collapsed="false">
      <c r="A31" s="15" t="n">
        <f aca="false">750/1440</f>
        <v>0.520833333333333</v>
      </c>
      <c r="B31" s="13" t="n">
        <f aca="false">IF(OR(AND(Calc!F$3&gt;0,$A31&gt;=Calc!F$1,$A31&lt;Calc!F$2),AND(Calc!L$3&gt;0,$J31&gt;=Calc!L$1,$J31&lt;Calc!L$2)),SUMPRODUCT((Calc!T$6:T$105&lt;=$A31)*(Calc!AA$6:AA$105&gt;$A31))+SUMPRODUCT((Calc!Z$6:Z$105&lt;=$J31)*(Calc!AG$6:AG$105&gt;$J31)),"")</f>
        <v>7</v>
      </c>
      <c r="C31" s="13" t="n">
        <f aca="false">IF(OR(AND(Calc!G$3&gt;0,$A31&gt;=Calc!G$1,$A31&lt;Calc!G$2),AND(Calc!F$3&gt;0,$J31&gt;=Calc!F$1,$J31&lt;Calc!F$2)),SUMPRODUCT((Calc!U$6:U$105&lt;=$A31)*(Calc!AB$6:AB$105&gt;$A31))+SUMPRODUCT((Calc!T$6:T$105&lt;=$J31)*(Calc!AA$6:AA$105&gt;$J31)),"")</f>
        <v>7</v>
      </c>
      <c r="D31" s="13" t="n">
        <f aca="false">IF(OR(AND(Calc!H$3&gt;0,$A31&gt;=Calc!H$1,$A31&lt;Calc!H$2),AND(Calc!G$3&gt;0,$J31&gt;=Calc!G$1,$J31&lt;Calc!G$2)),SUMPRODUCT((Calc!V$6:V$105&lt;=$A31)*(Calc!AC$6:AC$105&gt;$A31))+SUMPRODUCT((Calc!U$6:U$105&lt;=$J31)*(Calc!AB$6:AB$105&gt;$J31)),"")</f>
        <v>8</v>
      </c>
      <c r="E31" s="13" t="n">
        <f aca="false">IF(OR(AND(Calc!I$3&gt;0,$A31&gt;=Calc!I$1,$A31&lt;Calc!I$2),AND(Calc!H$3&gt;0,$J31&gt;=Calc!H$1,$J31&lt;Calc!H$2)),SUMPRODUCT((Calc!W$6:W$105&lt;=$A31)*(Calc!AD$6:AD$105&gt;$A31))+SUMPRODUCT((Calc!V$6:V$105&lt;=$J31)*(Calc!AC$6:AC$105&gt;$J31)),"")</f>
        <v>7</v>
      </c>
      <c r="F31" s="13" t="n">
        <f aca="false">IF(OR(AND(Calc!J$3&gt;0,$A31&gt;=Calc!J$1,$A31&lt;Calc!J$2),AND(Calc!I$3&gt;0,$J31&gt;=Calc!I$1,$J31&lt;Calc!I$2)),SUMPRODUCT((Calc!X$6:X$105&lt;=$A31)*(Calc!AE$6:AE$105&gt;$A31))+SUMPRODUCT((Calc!W$6:W$105&lt;=$J31)*(Calc!AD$6:AD$105&gt;$J31)),"")</f>
        <v>8</v>
      </c>
      <c r="G31" s="13" t="n">
        <f aca="false">IF(OR(AND(Calc!K$3&gt;0,$A31&gt;=Calc!K$1,$A31&lt;Calc!K$2),AND(Calc!J$3&gt;0,$J31&gt;=Calc!J$1,$J31&lt;Calc!J$2)),SUMPRODUCT((Calc!Y$6:Y$105&lt;=$A31)*(Calc!AF$6:AF$105&gt;$A31))+SUMPRODUCT((Calc!X$6:X$105&lt;=$J31)*(Calc!AE$6:AE$105&gt;$J31)),"")</f>
        <v>7</v>
      </c>
      <c r="H31" s="13" t="n">
        <f aca="false">IF(OR(AND(Calc!L$3&gt;0,$A31&gt;=Calc!L$1,$A31&lt;Calc!L$2),AND(Calc!K$3&gt;0,$J31&gt;=Calc!K$1,$J31&lt;Calc!K$2)),SUMPRODUCT((Calc!Z$6:Z$105&lt;=$A31)*(Calc!AG$6:AG$105&gt;$A31))+SUMPRODUCT((Calc!Y$6:Y$105&lt;=$J31)*(Calc!AF$6:AF$105&gt;$J31)),"")</f>
        <v>6</v>
      </c>
      <c r="J31" s="14" t="n">
        <f aca="false">2190/1440</f>
        <v>1.52083333333333</v>
      </c>
    </row>
    <row r="32" customFormat="false" ht="15" hidden="false" customHeight="false" outlineLevel="0" collapsed="false">
      <c r="A32" s="15" t="n">
        <f aca="false">780/1440</f>
        <v>0.541666666666667</v>
      </c>
      <c r="B32" s="13" t="n">
        <f aca="false">IF(OR(AND(Calc!F$3&gt;0,$A32&gt;=Calc!F$1,$A32&lt;Calc!F$2),AND(Calc!L$3&gt;0,$J32&gt;=Calc!L$1,$J32&lt;Calc!L$2)),SUMPRODUCT((Calc!T$6:T$105&lt;=$A32)*(Calc!AA$6:AA$105&gt;$A32))+SUMPRODUCT((Calc!Z$6:Z$105&lt;=$J32)*(Calc!AG$6:AG$105&gt;$J32)),"")</f>
        <v>7</v>
      </c>
      <c r="C32" s="13" t="n">
        <f aca="false">IF(OR(AND(Calc!G$3&gt;0,$A32&gt;=Calc!G$1,$A32&lt;Calc!G$2),AND(Calc!F$3&gt;0,$J32&gt;=Calc!F$1,$J32&lt;Calc!F$2)),SUMPRODUCT((Calc!U$6:U$105&lt;=$A32)*(Calc!AB$6:AB$105&gt;$A32))+SUMPRODUCT((Calc!T$6:T$105&lt;=$J32)*(Calc!AA$6:AA$105&gt;$J32)),"")</f>
        <v>7</v>
      </c>
      <c r="D32" s="13" t="n">
        <f aca="false">IF(OR(AND(Calc!H$3&gt;0,$A32&gt;=Calc!H$1,$A32&lt;Calc!H$2),AND(Calc!G$3&gt;0,$J32&gt;=Calc!G$1,$J32&lt;Calc!G$2)),SUMPRODUCT((Calc!V$6:V$105&lt;=$A32)*(Calc!AC$6:AC$105&gt;$A32))+SUMPRODUCT((Calc!U$6:U$105&lt;=$J32)*(Calc!AB$6:AB$105&gt;$J32)),"")</f>
        <v>8</v>
      </c>
      <c r="E32" s="13" t="n">
        <f aca="false">IF(OR(AND(Calc!I$3&gt;0,$A32&gt;=Calc!I$1,$A32&lt;Calc!I$2),AND(Calc!H$3&gt;0,$J32&gt;=Calc!H$1,$J32&lt;Calc!H$2)),SUMPRODUCT((Calc!W$6:W$105&lt;=$A32)*(Calc!AD$6:AD$105&gt;$A32))+SUMPRODUCT((Calc!V$6:V$105&lt;=$J32)*(Calc!AC$6:AC$105&gt;$J32)),"")</f>
        <v>7</v>
      </c>
      <c r="F32" s="13" t="n">
        <f aca="false">IF(OR(AND(Calc!J$3&gt;0,$A32&gt;=Calc!J$1,$A32&lt;Calc!J$2),AND(Calc!I$3&gt;0,$J32&gt;=Calc!I$1,$J32&lt;Calc!I$2)),SUMPRODUCT((Calc!X$6:X$105&lt;=$A32)*(Calc!AE$6:AE$105&gt;$A32))+SUMPRODUCT((Calc!W$6:W$105&lt;=$J32)*(Calc!AD$6:AD$105&gt;$J32)),"")</f>
        <v>8</v>
      </c>
      <c r="G32" s="13" t="n">
        <f aca="false">IF(OR(AND(Calc!K$3&gt;0,$A32&gt;=Calc!K$1,$A32&lt;Calc!K$2),AND(Calc!J$3&gt;0,$J32&gt;=Calc!J$1,$J32&lt;Calc!J$2)),SUMPRODUCT((Calc!Y$6:Y$105&lt;=$A32)*(Calc!AF$6:AF$105&gt;$A32))+SUMPRODUCT((Calc!X$6:X$105&lt;=$J32)*(Calc!AE$6:AE$105&gt;$J32)),"")</f>
        <v>7</v>
      </c>
      <c r="H32" s="13" t="n">
        <f aca="false">IF(OR(AND(Calc!L$3&gt;0,$A32&gt;=Calc!L$1,$A32&lt;Calc!L$2),AND(Calc!K$3&gt;0,$J32&gt;=Calc!K$1,$J32&lt;Calc!K$2)),SUMPRODUCT((Calc!Z$6:Z$105&lt;=$A32)*(Calc!AG$6:AG$105&gt;$A32))+SUMPRODUCT((Calc!Y$6:Y$105&lt;=$J32)*(Calc!AF$6:AF$105&gt;$J32)),"")</f>
        <v>6</v>
      </c>
      <c r="J32" s="14" t="n">
        <f aca="false">2220/1440</f>
        <v>1.54166666666667</v>
      </c>
    </row>
    <row r="33" customFormat="false" ht="15" hidden="false" customHeight="false" outlineLevel="0" collapsed="false">
      <c r="A33" s="15" t="n">
        <f aca="false">810/1440</f>
        <v>0.5625</v>
      </c>
      <c r="B33" s="13" t="n">
        <f aca="false">IF(OR(AND(Calc!F$3&gt;0,$A33&gt;=Calc!F$1,$A33&lt;Calc!F$2),AND(Calc!L$3&gt;0,$J33&gt;=Calc!L$1,$J33&lt;Calc!L$2)),SUMPRODUCT((Calc!T$6:T$105&lt;=$A33)*(Calc!AA$6:AA$105&gt;$A33))+SUMPRODUCT((Calc!Z$6:Z$105&lt;=$J33)*(Calc!AG$6:AG$105&gt;$J33)),"")</f>
        <v>7</v>
      </c>
      <c r="C33" s="13" t="n">
        <f aca="false">IF(OR(AND(Calc!G$3&gt;0,$A33&gt;=Calc!G$1,$A33&lt;Calc!G$2),AND(Calc!F$3&gt;0,$J33&gt;=Calc!F$1,$J33&lt;Calc!F$2)),SUMPRODUCT((Calc!U$6:U$105&lt;=$A33)*(Calc!AB$6:AB$105&gt;$A33))+SUMPRODUCT((Calc!T$6:T$105&lt;=$J33)*(Calc!AA$6:AA$105&gt;$J33)),"")</f>
        <v>7</v>
      </c>
      <c r="D33" s="13" t="n">
        <f aca="false">IF(OR(AND(Calc!H$3&gt;0,$A33&gt;=Calc!H$1,$A33&lt;Calc!H$2),AND(Calc!G$3&gt;0,$J33&gt;=Calc!G$1,$J33&lt;Calc!G$2)),SUMPRODUCT((Calc!V$6:V$105&lt;=$A33)*(Calc!AC$6:AC$105&gt;$A33))+SUMPRODUCT((Calc!U$6:U$105&lt;=$J33)*(Calc!AB$6:AB$105&gt;$J33)),"")</f>
        <v>8</v>
      </c>
      <c r="E33" s="13" t="n">
        <f aca="false">IF(OR(AND(Calc!I$3&gt;0,$A33&gt;=Calc!I$1,$A33&lt;Calc!I$2),AND(Calc!H$3&gt;0,$J33&gt;=Calc!H$1,$J33&lt;Calc!H$2)),SUMPRODUCT((Calc!W$6:W$105&lt;=$A33)*(Calc!AD$6:AD$105&gt;$A33))+SUMPRODUCT((Calc!V$6:V$105&lt;=$J33)*(Calc!AC$6:AC$105&gt;$J33)),"")</f>
        <v>7</v>
      </c>
      <c r="F33" s="13" t="n">
        <f aca="false">IF(OR(AND(Calc!J$3&gt;0,$A33&gt;=Calc!J$1,$A33&lt;Calc!J$2),AND(Calc!I$3&gt;0,$J33&gt;=Calc!I$1,$J33&lt;Calc!I$2)),SUMPRODUCT((Calc!X$6:X$105&lt;=$A33)*(Calc!AE$6:AE$105&gt;$A33))+SUMPRODUCT((Calc!W$6:W$105&lt;=$J33)*(Calc!AD$6:AD$105&gt;$J33)),"")</f>
        <v>8</v>
      </c>
      <c r="G33" s="13" t="n">
        <f aca="false">IF(OR(AND(Calc!K$3&gt;0,$A33&gt;=Calc!K$1,$A33&lt;Calc!K$2),AND(Calc!J$3&gt;0,$J33&gt;=Calc!J$1,$J33&lt;Calc!J$2)),SUMPRODUCT((Calc!Y$6:Y$105&lt;=$A33)*(Calc!AF$6:AF$105&gt;$A33))+SUMPRODUCT((Calc!X$6:X$105&lt;=$J33)*(Calc!AE$6:AE$105&gt;$J33)),"")</f>
        <v>7</v>
      </c>
      <c r="H33" s="13" t="n">
        <f aca="false">IF(OR(AND(Calc!L$3&gt;0,$A33&gt;=Calc!L$1,$A33&lt;Calc!L$2),AND(Calc!K$3&gt;0,$J33&gt;=Calc!K$1,$J33&lt;Calc!K$2)),SUMPRODUCT((Calc!Z$6:Z$105&lt;=$A33)*(Calc!AG$6:AG$105&gt;$A33))+SUMPRODUCT((Calc!Y$6:Y$105&lt;=$J33)*(Calc!AF$6:AF$105&gt;$J33)),"")</f>
        <v>6</v>
      </c>
      <c r="J33" s="14" t="n">
        <f aca="false">2250/1440</f>
        <v>1.5625</v>
      </c>
    </row>
    <row r="34" customFormat="false" ht="15" hidden="false" customHeight="false" outlineLevel="0" collapsed="false">
      <c r="A34" s="15" t="n">
        <f aca="false">840/1440</f>
        <v>0.583333333333333</v>
      </c>
      <c r="B34" s="13" t="n">
        <f aca="false">IF(OR(AND(Calc!F$3&gt;0,$A34&gt;=Calc!F$1,$A34&lt;Calc!F$2),AND(Calc!L$3&gt;0,$J34&gt;=Calc!L$1,$J34&lt;Calc!L$2)),SUMPRODUCT((Calc!T$6:T$105&lt;=$A34)*(Calc!AA$6:AA$105&gt;$A34))+SUMPRODUCT((Calc!Z$6:Z$105&lt;=$J34)*(Calc!AG$6:AG$105&gt;$J34)),"")</f>
        <v>7</v>
      </c>
      <c r="C34" s="13" t="n">
        <f aca="false">IF(OR(AND(Calc!G$3&gt;0,$A34&gt;=Calc!G$1,$A34&lt;Calc!G$2),AND(Calc!F$3&gt;0,$J34&gt;=Calc!F$1,$J34&lt;Calc!F$2)),SUMPRODUCT((Calc!U$6:U$105&lt;=$A34)*(Calc!AB$6:AB$105&gt;$A34))+SUMPRODUCT((Calc!T$6:T$105&lt;=$J34)*(Calc!AA$6:AA$105&gt;$J34)),"")</f>
        <v>7</v>
      </c>
      <c r="D34" s="13" t="n">
        <f aca="false">IF(OR(AND(Calc!H$3&gt;0,$A34&gt;=Calc!H$1,$A34&lt;Calc!H$2),AND(Calc!G$3&gt;0,$J34&gt;=Calc!G$1,$J34&lt;Calc!G$2)),SUMPRODUCT((Calc!V$6:V$105&lt;=$A34)*(Calc!AC$6:AC$105&gt;$A34))+SUMPRODUCT((Calc!U$6:U$105&lt;=$J34)*(Calc!AB$6:AB$105&gt;$J34)),"")</f>
        <v>8</v>
      </c>
      <c r="E34" s="13" t="n">
        <f aca="false">IF(OR(AND(Calc!I$3&gt;0,$A34&gt;=Calc!I$1,$A34&lt;Calc!I$2),AND(Calc!H$3&gt;0,$J34&gt;=Calc!H$1,$J34&lt;Calc!H$2)),SUMPRODUCT((Calc!W$6:W$105&lt;=$A34)*(Calc!AD$6:AD$105&gt;$A34))+SUMPRODUCT((Calc!V$6:V$105&lt;=$J34)*(Calc!AC$6:AC$105&gt;$J34)),"")</f>
        <v>7</v>
      </c>
      <c r="F34" s="13" t="n">
        <f aca="false">IF(OR(AND(Calc!J$3&gt;0,$A34&gt;=Calc!J$1,$A34&lt;Calc!J$2),AND(Calc!I$3&gt;0,$J34&gt;=Calc!I$1,$J34&lt;Calc!I$2)),SUMPRODUCT((Calc!X$6:X$105&lt;=$A34)*(Calc!AE$6:AE$105&gt;$A34))+SUMPRODUCT((Calc!W$6:W$105&lt;=$J34)*(Calc!AD$6:AD$105&gt;$J34)),"")</f>
        <v>8</v>
      </c>
      <c r="G34" s="13" t="n">
        <f aca="false">IF(OR(AND(Calc!K$3&gt;0,$A34&gt;=Calc!K$1,$A34&lt;Calc!K$2),AND(Calc!J$3&gt;0,$J34&gt;=Calc!J$1,$J34&lt;Calc!J$2)),SUMPRODUCT((Calc!Y$6:Y$105&lt;=$A34)*(Calc!AF$6:AF$105&gt;$A34))+SUMPRODUCT((Calc!X$6:X$105&lt;=$J34)*(Calc!AE$6:AE$105&gt;$J34)),"")</f>
        <v>7</v>
      </c>
      <c r="H34" s="13" t="n">
        <f aca="false">IF(OR(AND(Calc!L$3&gt;0,$A34&gt;=Calc!L$1,$A34&lt;Calc!L$2),AND(Calc!K$3&gt;0,$J34&gt;=Calc!K$1,$J34&lt;Calc!K$2)),SUMPRODUCT((Calc!Z$6:Z$105&lt;=$A34)*(Calc!AG$6:AG$105&gt;$A34))+SUMPRODUCT((Calc!Y$6:Y$105&lt;=$J34)*(Calc!AF$6:AF$105&gt;$J34)),"")</f>
        <v>6</v>
      </c>
      <c r="J34" s="14" t="n">
        <f aca="false">2280/1440</f>
        <v>1.58333333333333</v>
      </c>
    </row>
    <row r="35" customFormat="false" ht="15" hidden="false" customHeight="false" outlineLevel="0" collapsed="false">
      <c r="A35" s="15" t="n">
        <f aca="false">870/1440</f>
        <v>0.604166666666667</v>
      </c>
      <c r="B35" s="13" t="n">
        <f aca="false">IF(OR(AND(Calc!F$3&gt;0,$A35&gt;=Calc!F$1,$A35&lt;Calc!F$2),AND(Calc!L$3&gt;0,$J35&gt;=Calc!L$1,$J35&lt;Calc!L$2)),SUMPRODUCT((Calc!T$6:T$105&lt;=$A35)*(Calc!AA$6:AA$105&gt;$A35))+SUMPRODUCT((Calc!Z$6:Z$105&lt;=$J35)*(Calc!AG$6:AG$105&gt;$J35)),"")</f>
        <v>6</v>
      </c>
      <c r="C35" s="13" t="n">
        <f aca="false">IF(OR(AND(Calc!G$3&gt;0,$A35&gt;=Calc!G$1,$A35&lt;Calc!G$2),AND(Calc!F$3&gt;0,$J35&gt;=Calc!F$1,$J35&lt;Calc!F$2)),SUMPRODUCT((Calc!U$6:U$105&lt;=$A35)*(Calc!AB$6:AB$105&gt;$A35))+SUMPRODUCT((Calc!T$6:T$105&lt;=$J35)*(Calc!AA$6:AA$105&gt;$J35)),"")</f>
        <v>6</v>
      </c>
      <c r="D35" s="13" t="n">
        <f aca="false">IF(OR(AND(Calc!H$3&gt;0,$A35&gt;=Calc!H$1,$A35&lt;Calc!H$2),AND(Calc!G$3&gt;0,$J35&gt;=Calc!G$1,$J35&lt;Calc!G$2)),SUMPRODUCT((Calc!V$6:V$105&lt;=$A35)*(Calc!AC$6:AC$105&gt;$A35))+SUMPRODUCT((Calc!U$6:U$105&lt;=$J35)*(Calc!AB$6:AB$105&gt;$J35)),"")</f>
        <v>7</v>
      </c>
      <c r="E35" s="13" t="n">
        <f aca="false">IF(OR(AND(Calc!I$3&gt;0,$A35&gt;=Calc!I$1,$A35&lt;Calc!I$2),AND(Calc!H$3&gt;0,$J35&gt;=Calc!H$1,$J35&lt;Calc!H$2)),SUMPRODUCT((Calc!W$6:W$105&lt;=$A35)*(Calc!AD$6:AD$105&gt;$A35))+SUMPRODUCT((Calc!V$6:V$105&lt;=$J35)*(Calc!AC$6:AC$105&gt;$J35)),"")</f>
        <v>6</v>
      </c>
      <c r="F35" s="13" t="n">
        <f aca="false">IF(OR(AND(Calc!J$3&gt;0,$A35&gt;=Calc!J$1,$A35&lt;Calc!J$2),AND(Calc!I$3&gt;0,$J35&gt;=Calc!I$1,$J35&lt;Calc!I$2)),SUMPRODUCT((Calc!X$6:X$105&lt;=$A35)*(Calc!AE$6:AE$105&gt;$A35))+SUMPRODUCT((Calc!W$6:W$105&lt;=$J35)*(Calc!AD$6:AD$105&gt;$J35)),"")</f>
        <v>7</v>
      </c>
      <c r="G35" s="13" t="n">
        <f aca="false">IF(OR(AND(Calc!K$3&gt;0,$A35&gt;=Calc!K$1,$A35&lt;Calc!K$2),AND(Calc!J$3&gt;0,$J35&gt;=Calc!J$1,$J35&lt;Calc!J$2)),SUMPRODUCT((Calc!Y$6:Y$105&lt;=$A35)*(Calc!AF$6:AF$105&gt;$A35))+SUMPRODUCT((Calc!X$6:X$105&lt;=$J35)*(Calc!AE$6:AE$105&gt;$J35)),"")</f>
        <v>6</v>
      </c>
      <c r="H35" s="13" t="n">
        <f aca="false">IF(OR(AND(Calc!L$3&gt;0,$A35&gt;=Calc!L$1,$A35&lt;Calc!L$2),AND(Calc!K$3&gt;0,$J35&gt;=Calc!K$1,$J35&lt;Calc!K$2)),SUMPRODUCT((Calc!Z$6:Z$105&lt;=$A35)*(Calc!AG$6:AG$105&gt;$A35))+SUMPRODUCT((Calc!Y$6:Y$105&lt;=$J35)*(Calc!AF$6:AF$105&gt;$J35)),"")</f>
        <v>5</v>
      </c>
      <c r="J35" s="14" t="n">
        <f aca="false">2310/1440</f>
        <v>1.60416666666667</v>
      </c>
    </row>
    <row r="36" customFormat="false" ht="15" hidden="false" customHeight="false" outlineLevel="0" collapsed="false">
      <c r="A36" s="15" t="n">
        <f aca="false">900/1440</f>
        <v>0.625</v>
      </c>
      <c r="B36" s="13" t="n">
        <f aca="false">IF(OR(AND(Calc!F$3&gt;0,$A36&gt;=Calc!F$1,$A36&lt;Calc!F$2),AND(Calc!L$3&gt;0,$J36&gt;=Calc!L$1,$J36&lt;Calc!L$2)),SUMPRODUCT((Calc!T$6:T$105&lt;=$A36)*(Calc!AA$6:AA$105&gt;$A36))+SUMPRODUCT((Calc!Z$6:Z$105&lt;=$J36)*(Calc!AG$6:AG$105&gt;$J36)),"")</f>
        <v>6</v>
      </c>
      <c r="C36" s="13" t="n">
        <f aca="false">IF(OR(AND(Calc!G$3&gt;0,$A36&gt;=Calc!G$1,$A36&lt;Calc!G$2),AND(Calc!F$3&gt;0,$J36&gt;=Calc!F$1,$J36&lt;Calc!F$2)),SUMPRODUCT((Calc!U$6:U$105&lt;=$A36)*(Calc!AB$6:AB$105&gt;$A36))+SUMPRODUCT((Calc!T$6:T$105&lt;=$J36)*(Calc!AA$6:AA$105&gt;$J36)),"")</f>
        <v>6</v>
      </c>
      <c r="D36" s="13" t="n">
        <f aca="false">IF(OR(AND(Calc!H$3&gt;0,$A36&gt;=Calc!H$1,$A36&lt;Calc!H$2),AND(Calc!G$3&gt;0,$J36&gt;=Calc!G$1,$J36&lt;Calc!G$2)),SUMPRODUCT((Calc!V$6:V$105&lt;=$A36)*(Calc!AC$6:AC$105&gt;$A36))+SUMPRODUCT((Calc!U$6:U$105&lt;=$J36)*(Calc!AB$6:AB$105&gt;$J36)),"")</f>
        <v>6</v>
      </c>
      <c r="E36" s="13" t="n">
        <f aca="false">IF(OR(AND(Calc!I$3&gt;0,$A36&gt;=Calc!I$1,$A36&lt;Calc!I$2),AND(Calc!H$3&gt;0,$J36&gt;=Calc!H$1,$J36&lt;Calc!H$2)),SUMPRODUCT((Calc!W$6:W$105&lt;=$A36)*(Calc!AD$6:AD$105&gt;$A36))+SUMPRODUCT((Calc!V$6:V$105&lt;=$J36)*(Calc!AC$6:AC$105&gt;$J36)),"")</f>
        <v>6</v>
      </c>
      <c r="F36" s="13" t="n">
        <f aca="false">IF(OR(AND(Calc!J$3&gt;0,$A36&gt;=Calc!J$1,$A36&lt;Calc!J$2),AND(Calc!I$3&gt;0,$J36&gt;=Calc!I$1,$J36&lt;Calc!I$2)),SUMPRODUCT((Calc!X$6:X$105&lt;=$A36)*(Calc!AE$6:AE$105&gt;$A36))+SUMPRODUCT((Calc!W$6:W$105&lt;=$J36)*(Calc!AD$6:AD$105&gt;$J36)),"")</f>
        <v>6</v>
      </c>
      <c r="G36" s="13" t="n">
        <f aca="false">IF(OR(AND(Calc!K$3&gt;0,$A36&gt;=Calc!K$1,$A36&lt;Calc!K$2),AND(Calc!J$3&gt;0,$J36&gt;=Calc!J$1,$J36&lt;Calc!J$2)),SUMPRODUCT((Calc!Y$6:Y$105&lt;=$A36)*(Calc!AF$6:AF$105&gt;$A36))+SUMPRODUCT((Calc!X$6:X$105&lt;=$J36)*(Calc!AE$6:AE$105&gt;$J36)),"")</f>
        <v>6</v>
      </c>
      <c r="H36" s="13" t="n">
        <f aca="false">IF(OR(AND(Calc!L$3&gt;0,$A36&gt;=Calc!L$1,$A36&lt;Calc!L$2),AND(Calc!K$3&gt;0,$J36&gt;=Calc!K$1,$J36&lt;Calc!K$2)),SUMPRODUCT((Calc!Z$6:Z$105&lt;=$A36)*(Calc!AG$6:AG$105&gt;$A36))+SUMPRODUCT((Calc!Y$6:Y$105&lt;=$J36)*(Calc!AF$6:AF$105&gt;$J36)),"")</f>
        <v>5</v>
      </c>
      <c r="J36" s="14" t="n">
        <f aca="false">2340/1440</f>
        <v>1.625</v>
      </c>
    </row>
    <row r="37" customFormat="false" ht="15" hidden="false" customHeight="false" outlineLevel="0" collapsed="false">
      <c r="A37" s="15" t="n">
        <f aca="false">930/1440</f>
        <v>0.645833333333333</v>
      </c>
      <c r="B37" s="13" t="n">
        <f aca="false">IF(OR(AND(Calc!F$3&gt;0,$A37&gt;=Calc!F$1,$A37&lt;Calc!F$2),AND(Calc!L$3&gt;0,$J37&gt;=Calc!L$1,$J37&lt;Calc!L$2)),SUMPRODUCT((Calc!T$6:T$105&lt;=$A37)*(Calc!AA$6:AA$105&gt;$A37))+SUMPRODUCT((Calc!Z$6:Z$105&lt;=$J37)*(Calc!AG$6:AG$105&gt;$J37)),"")</f>
        <v>5</v>
      </c>
      <c r="C37" s="13" t="n">
        <f aca="false">IF(OR(AND(Calc!G$3&gt;0,$A37&gt;=Calc!G$1,$A37&lt;Calc!G$2),AND(Calc!F$3&gt;0,$J37&gt;=Calc!F$1,$J37&lt;Calc!F$2)),SUMPRODUCT((Calc!U$6:U$105&lt;=$A37)*(Calc!AB$6:AB$105&gt;$A37))+SUMPRODUCT((Calc!T$6:T$105&lt;=$J37)*(Calc!AA$6:AA$105&gt;$J37)),"")</f>
        <v>5</v>
      </c>
      <c r="D37" s="13" t="n">
        <f aca="false">IF(OR(AND(Calc!H$3&gt;0,$A37&gt;=Calc!H$1,$A37&lt;Calc!H$2),AND(Calc!G$3&gt;0,$J37&gt;=Calc!G$1,$J37&lt;Calc!G$2)),SUMPRODUCT((Calc!V$6:V$105&lt;=$A37)*(Calc!AC$6:AC$105&gt;$A37))+SUMPRODUCT((Calc!U$6:U$105&lt;=$J37)*(Calc!AB$6:AB$105&gt;$J37)),"")</f>
        <v>6</v>
      </c>
      <c r="E37" s="13" t="n">
        <f aca="false">IF(OR(AND(Calc!I$3&gt;0,$A37&gt;=Calc!I$1,$A37&lt;Calc!I$2),AND(Calc!H$3&gt;0,$J37&gt;=Calc!H$1,$J37&lt;Calc!H$2)),SUMPRODUCT((Calc!W$6:W$105&lt;=$A37)*(Calc!AD$6:AD$105&gt;$A37))+SUMPRODUCT((Calc!V$6:V$105&lt;=$J37)*(Calc!AC$6:AC$105&gt;$J37)),"")</f>
        <v>5</v>
      </c>
      <c r="F37" s="13" t="n">
        <f aca="false">IF(OR(AND(Calc!J$3&gt;0,$A37&gt;=Calc!J$1,$A37&lt;Calc!J$2),AND(Calc!I$3&gt;0,$J37&gt;=Calc!I$1,$J37&lt;Calc!I$2)),SUMPRODUCT((Calc!X$6:X$105&lt;=$A37)*(Calc!AE$6:AE$105&gt;$A37))+SUMPRODUCT((Calc!W$6:W$105&lt;=$J37)*(Calc!AD$6:AD$105&gt;$J37)),"")</f>
        <v>6</v>
      </c>
      <c r="G37" s="13" t="n">
        <f aca="false">IF(OR(AND(Calc!K$3&gt;0,$A37&gt;=Calc!K$1,$A37&lt;Calc!K$2),AND(Calc!J$3&gt;0,$J37&gt;=Calc!J$1,$J37&lt;Calc!J$2)),SUMPRODUCT((Calc!Y$6:Y$105&lt;=$A37)*(Calc!AF$6:AF$105&gt;$A37))+SUMPRODUCT((Calc!X$6:X$105&lt;=$J37)*(Calc!AE$6:AE$105&gt;$J37)),"")</f>
        <v>5</v>
      </c>
      <c r="H37" s="13" t="n">
        <f aca="false">IF(OR(AND(Calc!L$3&gt;0,$A37&gt;=Calc!L$1,$A37&lt;Calc!L$2),AND(Calc!K$3&gt;0,$J37&gt;=Calc!K$1,$J37&lt;Calc!K$2)),SUMPRODUCT((Calc!Z$6:Z$105&lt;=$A37)*(Calc!AG$6:AG$105&gt;$A37))+SUMPRODUCT((Calc!Y$6:Y$105&lt;=$J37)*(Calc!AF$6:AF$105&gt;$J37)),"")</f>
        <v>4</v>
      </c>
      <c r="J37" s="14" t="n">
        <f aca="false">2370/1440</f>
        <v>1.64583333333333</v>
      </c>
    </row>
    <row r="38" customFormat="false" ht="15" hidden="false" customHeight="false" outlineLevel="0" collapsed="false">
      <c r="A38" s="15" t="n">
        <f aca="false">960/1440</f>
        <v>0.666666666666667</v>
      </c>
      <c r="B38" s="13" t="n">
        <f aca="false">IF(OR(AND(Calc!F$3&gt;0,$A38&gt;=Calc!F$1,$A38&lt;Calc!F$2),AND(Calc!L$3&gt;0,$J38&gt;=Calc!L$1,$J38&lt;Calc!L$2)),SUMPRODUCT((Calc!T$6:T$105&lt;=$A38)*(Calc!AA$6:AA$105&gt;$A38))+SUMPRODUCT((Calc!Z$6:Z$105&lt;=$J38)*(Calc!AG$6:AG$105&gt;$J38)),"")</f>
        <v>4</v>
      </c>
      <c r="C38" s="13" t="n">
        <f aca="false">IF(OR(AND(Calc!G$3&gt;0,$A38&gt;=Calc!G$1,$A38&lt;Calc!G$2),AND(Calc!F$3&gt;0,$J38&gt;=Calc!F$1,$J38&lt;Calc!F$2)),SUMPRODUCT((Calc!U$6:U$105&lt;=$A38)*(Calc!AB$6:AB$105&gt;$A38))+SUMPRODUCT((Calc!T$6:T$105&lt;=$J38)*(Calc!AA$6:AA$105&gt;$J38)),"")</f>
        <v>4</v>
      </c>
      <c r="D38" s="13" t="n">
        <f aca="false">IF(OR(AND(Calc!H$3&gt;0,$A38&gt;=Calc!H$1,$A38&lt;Calc!H$2),AND(Calc!G$3&gt;0,$J38&gt;=Calc!G$1,$J38&lt;Calc!G$2)),SUMPRODUCT((Calc!V$6:V$105&lt;=$A38)*(Calc!AC$6:AC$105&gt;$A38))+SUMPRODUCT((Calc!U$6:U$105&lt;=$J38)*(Calc!AB$6:AB$105&gt;$J38)),"")</f>
        <v>5</v>
      </c>
      <c r="E38" s="13" t="n">
        <f aca="false">IF(OR(AND(Calc!I$3&gt;0,$A38&gt;=Calc!I$1,$A38&lt;Calc!I$2),AND(Calc!H$3&gt;0,$J38&gt;=Calc!H$1,$J38&lt;Calc!H$2)),SUMPRODUCT((Calc!W$6:W$105&lt;=$A38)*(Calc!AD$6:AD$105&gt;$A38))+SUMPRODUCT((Calc!V$6:V$105&lt;=$J38)*(Calc!AC$6:AC$105&gt;$J38)),"")</f>
        <v>4</v>
      </c>
      <c r="F38" s="13" t="n">
        <f aca="false">IF(OR(AND(Calc!J$3&gt;0,$A38&gt;=Calc!J$1,$A38&lt;Calc!J$2),AND(Calc!I$3&gt;0,$J38&gt;=Calc!I$1,$J38&lt;Calc!I$2)),SUMPRODUCT((Calc!X$6:X$105&lt;=$A38)*(Calc!AE$6:AE$105&gt;$A38))+SUMPRODUCT((Calc!W$6:W$105&lt;=$J38)*(Calc!AD$6:AD$105&gt;$J38)),"")</f>
        <v>5</v>
      </c>
      <c r="G38" s="13" t="n">
        <f aca="false">IF(OR(AND(Calc!K$3&gt;0,$A38&gt;=Calc!K$1,$A38&lt;Calc!K$2),AND(Calc!J$3&gt;0,$J38&gt;=Calc!J$1,$J38&lt;Calc!J$2)),SUMPRODUCT((Calc!Y$6:Y$105&lt;=$A38)*(Calc!AF$6:AF$105&gt;$A38))+SUMPRODUCT((Calc!X$6:X$105&lt;=$J38)*(Calc!AE$6:AE$105&gt;$J38)),"")</f>
        <v>4</v>
      </c>
      <c r="H38" s="13" t="n">
        <f aca="false">IF(OR(AND(Calc!L$3&gt;0,$A38&gt;=Calc!L$1,$A38&lt;Calc!L$2),AND(Calc!K$3&gt;0,$J38&gt;=Calc!K$1,$J38&lt;Calc!K$2)),SUMPRODUCT((Calc!Z$6:Z$105&lt;=$A38)*(Calc!AG$6:AG$105&gt;$A38))+SUMPRODUCT((Calc!Y$6:Y$105&lt;=$J38)*(Calc!AF$6:AF$105&gt;$J38)),"")</f>
        <v>3</v>
      </c>
      <c r="J38" s="14" t="n">
        <f aca="false">2400/1440</f>
        <v>1.66666666666667</v>
      </c>
    </row>
    <row r="39" customFormat="false" ht="15" hidden="false" customHeight="false" outlineLevel="0" collapsed="false">
      <c r="A39" s="15" t="n">
        <f aca="false">990/1440</f>
        <v>0.6875</v>
      </c>
      <c r="B39" s="13" t="n">
        <f aca="false">IF(OR(AND(Calc!F$3&gt;0,$A39&gt;=Calc!F$1,$A39&lt;Calc!F$2),AND(Calc!L$3&gt;0,$J39&gt;=Calc!L$1,$J39&lt;Calc!L$2)),SUMPRODUCT((Calc!T$6:T$105&lt;=$A39)*(Calc!AA$6:AA$105&gt;$A39))+SUMPRODUCT((Calc!Z$6:Z$105&lt;=$J39)*(Calc!AG$6:AG$105&gt;$J39)),"")</f>
        <v>3</v>
      </c>
      <c r="C39" s="13" t="n">
        <f aca="false">IF(OR(AND(Calc!G$3&gt;0,$A39&gt;=Calc!G$1,$A39&lt;Calc!G$2),AND(Calc!F$3&gt;0,$J39&gt;=Calc!F$1,$J39&lt;Calc!F$2)),SUMPRODUCT((Calc!U$6:U$105&lt;=$A39)*(Calc!AB$6:AB$105&gt;$A39))+SUMPRODUCT((Calc!T$6:T$105&lt;=$J39)*(Calc!AA$6:AA$105&gt;$J39)),"")</f>
        <v>3</v>
      </c>
      <c r="D39" s="13" t="n">
        <f aca="false">IF(OR(AND(Calc!H$3&gt;0,$A39&gt;=Calc!H$1,$A39&lt;Calc!H$2),AND(Calc!G$3&gt;0,$J39&gt;=Calc!G$1,$J39&lt;Calc!G$2)),SUMPRODUCT((Calc!V$6:V$105&lt;=$A39)*(Calc!AC$6:AC$105&gt;$A39))+SUMPRODUCT((Calc!U$6:U$105&lt;=$J39)*(Calc!AB$6:AB$105&gt;$J39)),"")</f>
        <v>4</v>
      </c>
      <c r="E39" s="13" t="n">
        <f aca="false">IF(OR(AND(Calc!I$3&gt;0,$A39&gt;=Calc!I$1,$A39&lt;Calc!I$2),AND(Calc!H$3&gt;0,$J39&gt;=Calc!H$1,$J39&lt;Calc!H$2)),SUMPRODUCT((Calc!W$6:W$105&lt;=$A39)*(Calc!AD$6:AD$105&gt;$A39))+SUMPRODUCT((Calc!V$6:V$105&lt;=$J39)*(Calc!AC$6:AC$105&gt;$J39)),"")</f>
        <v>3</v>
      </c>
      <c r="F39" s="13" t="n">
        <f aca="false">IF(OR(AND(Calc!J$3&gt;0,$A39&gt;=Calc!J$1,$A39&lt;Calc!J$2),AND(Calc!I$3&gt;0,$J39&gt;=Calc!I$1,$J39&lt;Calc!I$2)),SUMPRODUCT((Calc!X$6:X$105&lt;=$A39)*(Calc!AE$6:AE$105&gt;$A39))+SUMPRODUCT((Calc!W$6:W$105&lt;=$J39)*(Calc!AD$6:AD$105&gt;$J39)),"")</f>
        <v>4</v>
      </c>
      <c r="G39" s="13" t="n">
        <f aca="false">IF(OR(AND(Calc!K$3&gt;0,$A39&gt;=Calc!K$1,$A39&lt;Calc!K$2),AND(Calc!J$3&gt;0,$J39&gt;=Calc!J$1,$J39&lt;Calc!J$2)),SUMPRODUCT((Calc!Y$6:Y$105&lt;=$A39)*(Calc!AF$6:AF$105&gt;$A39))+SUMPRODUCT((Calc!X$6:X$105&lt;=$J39)*(Calc!AE$6:AE$105&gt;$J39)),"")</f>
        <v>3</v>
      </c>
      <c r="H39" s="13" t="n">
        <f aca="false">IF(OR(AND(Calc!L$3&gt;0,$A39&gt;=Calc!L$1,$A39&lt;Calc!L$2),AND(Calc!K$3&gt;0,$J39&gt;=Calc!K$1,$J39&lt;Calc!K$2)),SUMPRODUCT((Calc!Z$6:Z$105&lt;=$A39)*(Calc!AG$6:AG$105&gt;$A39))+SUMPRODUCT((Calc!Y$6:Y$105&lt;=$J39)*(Calc!AF$6:AF$105&gt;$J39)),"")</f>
        <v>3</v>
      </c>
      <c r="J39" s="14" t="n">
        <f aca="false">2430/1440</f>
        <v>1.6875</v>
      </c>
    </row>
    <row r="40" customFormat="false" ht="15" hidden="false" customHeight="false" outlineLevel="0" collapsed="false">
      <c r="A40" s="15" t="n">
        <f aca="false">1020/1440</f>
        <v>0.708333333333333</v>
      </c>
      <c r="B40" s="13" t="n">
        <f aca="false">IF(OR(AND(Calc!F$3&gt;0,$A40&gt;=Calc!F$1,$A40&lt;Calc!F$2),AND(Calc!L$3&gt;0,$J40&gt;=Calc!L$1,$J40&lt;Calc!L$2)),SUMPRODUCT((Calc!T$6:T$105&lt;=$A40)*(Calc!AA$6:AA$105&gt;$A40))+SUMPRODUCT((Calc!Z$6:Z$105&lt;=$J40)*(Calc!AG$6:AG$105&gt;$J40)),"")</f>
        <v>3</v>
      </c>
      <c r="C40" s="13" t="n">
        <f aca="false">IF(OR(AND(Calc!G$3&gt;0,$A40&gt;=Calc!G$1,$A40&lt;Calc!G$2),AND(Calc!F$3&gt;0,$J40&gt;=Calc!F$1,$J40&lt;Calc!F$2)),SUMPRODUCT((Calc!U$6:U$105&lt;=$A40)*(Calc!AB$6:AB$105&gt;$A40))+SUMPRODUCT((Calc!T$6:T$105&lt;=$J40)*(Calc!AA$6:AA$105&gt;$J40)),"")</f>
        <v>3</v>
      </c>
      <c r="D40" s="13" t="n">
        <f aca="false">IF(OR(AND(Calc!H$3&gt;0,$A40&gt;=Calc!H$1,$A40&lt;Calc!H$2),AND(Calc!G$3&gt;0,$J40&gt;=Calc!G$1,$J40&lt;Calc!G$2)),SUMPRODUCT((Calc!V$6:V$105&lt;=$A40)*(Calc!AC$6:AC$105&gt;$A40))+SUMPRODUCT((Calc!U$6:U$105&lt;=$J40)*(Calc!AB$6:AB$105&gt;$J40)),"")</f>
        <v>3</v>
      </c>
      <c r="E40" s="13" t="n">
        <f aca="false">IF(OR(AND(Calc!I$3&gt;0,$A40&gt;=Calc!I$1,$A40&lt;Calc!I$2),AND(Calc!H$3&gt;0,$J40&gt;=Calc!H$1,$J40&lt;Calc!H$2)),SUMPRODUCT((Calc!W$6:W$105&lt;=$A40)*(Calc!AD$6:AD$105&gt;$A40))+SUMPRODUCT((Calc!V$6:V$105&lt;=$J40)*(Calc!AC$6:AC$105&gt;$J40)),"")</f>
        <v>3</v>
      </c>
      <c r="F40" s="13" t="n">
        <f aca="false">IF(OR(AND(Calc!J$3&gt;0,$A40&gt;=Calc!J$1,$A40&lt;Calc!J$2),AND(Calc!I$3&gt;0,$J40&gt;=Calc!I$1,$J40&lt;Calc!I$2)),SUMPRODUCT((Calc!X$6:X$105&lt;=$A40)*(Calc!AE$6:AE$105&gt;$A40))+SUMPRODUCT((Calc!W$6:W$105&lt;=$J40)*(Calc!AD$6:AD$105&gt;$J40)),"")</f>
        <v>3</v>
      </c>
      <c r="G40" s="13" t="n">
        <f aca="false">IF(OR(AND(Calc!K$3&gt;0,$A40&gt;=Calc!K$1,$A40&lt;Calc!K$2),AND(Calc!J$3&gt;0,$J40&gt;=Calc!J$1,$J40&lt;Calc!J$2)),SUMPRODUCT((Calc!Y$6:Y$105&lt;=$A40)*(Calc!AF$6:AF$105&gt;$A40))+SUMPRODUCT((Calc!X$6:X$105&lt;=$J40)*(Calc!AE$6:AE$105&gt;$J40)),"")</f>
        <v>3</v>
      </c>
      <c r="H40" s="13" t="n">
        <f aca="false">IF(OR(AND(Calc!L$3&gt;0,$A40&gt;=Calc!L$1,$A40&lt;Calc!L$2),AND(Calc!K$3&gt;0,$J40&gt;=Calc!K$1,$J40&lt;Calc!K$2)),SUMPRODUCT((Calc!Z$6:Z$105&lt;=$A40)*(Calc!AG$6:AG$105&gt;$A40))+SUMPRODUCT((Calc!Y$6:Y$105&lt;=$J40)*(Calc!AF$6:AF$105&gt;$J40)),"")</f>
        <v>2</v>
      </c>
      <c r="J40" s="14" t="n">
        <f aca="false">2460/1440</f>
        <v>1.70833333333333</v>
      </c>
    </row>
    <row r="41" customFormat="false" ht="15" hidden="false" customHeight="false" outlineLevel="0" collapsed="false">
      <c r="A41" s="15" t="n">
        <f aca="false">1050/1440</f>
        <v>0.729166666666667</v>
      </c>
      <c r="B41" s="13" t="n">
        <f aca="false">IF(OR(AND(Calc!F$3&gt;0,$A41&gt;=Calc!F$1,$A41&lt;Calc!F$2),AND(Calc!L$3&gt;0,$J41&gt;=Calc!L$1,$J41&lt;Calc!L$2)),SUMPRODUCT((Calc!T$6:T$105&lt;=$A41)*(Calc!AA$6:AA$105&gt;$A41))+SUMPRODUCT((Calc!Z$6:Z$105&lt;=$J41)*(Calc!AG$6:AG$105&gt;$J41)),"")</f>
        <v>2</v>
      </c>
      <c r="C41" s="13" t="n">
        <f aca="false">IF(OR(AND(Calc!G$3&gt;0,$A41&gt;=Calc!G$1,$A41&lt;Calc!G$2),AND(Calc!F$3&gt;0,$J41&gt;=Calc!F$1,$J41&lt;Calc!F$2)),SUMPRODUCT((Calc!U$6:U$105&lt;=$A41)*(Calc!AB$6:AB$105&gt;$A41))+SUMPRODUCT((Calc!T$6:T$105&lt;=$J41)*(Calc!AA$6:AA$105&gt;$J41)),"")</f>
        <v>2</v>
      </c>
      <c r="D41" s="13" t="n">
        <f aca="false">IF(OR(AND(Calc!H$3&gt;0,$A41&gt;=Calc!H$1,$A41&lt;Calc!H$2),AND(Calc!G$3&gt;0,$J41&gt;=Calc!G$1,$J41&lt;Calc!G$2)),SUMPRODUCT((Calc!V$6:V$105&lt;=$A41)*(Calc!AC$6:AC$105&gt;$A41))+SUMPRODUCT((Calc!U$6:U$105&lt;=$J41)*(Calc!AB$6:AB$105&gt;$J41)),"")</f>
        <v>2</v>
      </c>
      <c r="E41" s="13" t="n">
        <f aca="false">IF(OR(AND(Calc!I$3&gt;0,$A41&gt;=Calc!I$1,$A41&lt;Calc!I$2),AND(Calc!H$3&gt;0,$J41&gt;=Calc!H$1,$J41&lt;Calc!H$2)),SUMPRODUCT((Calc!W$6:W$105&lt;=$A41)*(Calc!AD$6:AD$105&gt;$A41))+SUMPRODUCT((Calc!V$6:V$105&lt;=$J41)*(Calc!AC$6:AC$105&gt;$J41)),"")</f>
        <v>2</v>
      </c>
      <c r="F41" s="13" t="n">
        <f aca="false">IF(OR(AND(Calc!J$3&gt;0,$A41&gt;=Calc!J$1,$A41&lt;Calc!J$2),AND(Calc!I$3&gt;0,$J41&gt;=Calc!I$1,$J41&lt;Calc!I$2)),SUMPRODUCT((Calc!X$6:X$105&lt;=$A41)*(Calc!AE$6:AE$105&gt;$A41))+SUMPRODUCT((Calc!W$6:W$105&lt;=$J41)*(Calc!AD$6:AD$105&gt;$J41)),"")</f>
        <v>2</v>
      </c>
      <c r="G41" s="13" t="n">
        <f aca="false">IF(OR(AND(Calc!K$3&gt;0,$A41&gt;=Calc!K$1,$A41&lt;Calc!K$2),AND(Calc!J$3&gt;0,$J41&gt;=Calc!J$1,$J41&lt;Calc!J$2)),SUMPRODUCT((Calc!Y$6:Y$105&lt;=$A41)*(Calc!AF$6:AF$105&gt;$A41))+SUMPRODUCT((Calc!X$6:X$105&lt;=$J41)*(Calc!AE$6:AE$105&gt;$J41)),"")</f>
        <v>2</v>
      </c>
      <c r="H41" s="13" t="n">
        <f aca="false">IF(OR(AND(Calc!L$3&gt;0,$A41&gt;=Calc!L$1,$A41&lt;Calc!L$2),AND(Calc!K$3&gt;0,$J41&gt;=Calc!K$1,$J41&lt;Calc!K$2)),SUMPRODUCT((Calc!Z$6:Z$105&lt;=$A41)*(Calc!AG$6:AG$105&gt;$A41))+SUMPRODUCT((Calc!Y$6:Y$105&lt;=$J41)*(Calc!AF$6:AF$105&gt;$J41)),"")</f>
        <v>2</v>
      </c>
      <c r="J41" s="14" t="n">
        <f aca="false">2490/1440</f>
        <v>1.72916666666667</v>
      </c>
    </row>
    <row r="42" customFormat="false" ht="15" hidden="false" customHeight="false" outlineLevel="0" collapsed="false">
      <c r="A42" s="15" t="n">
        <f aca="false">1080/1440</f>
        <v>0.75</v>
      </c>
      <c r="B42" s="13" t="n">
        <f aca="false">IF(OR(AND(Calc!F$3&gt;0,$A42&gt;=Calc!F$1,$A42&lt;Calc!F$2),AND(Calc!L$3&gt;0,$J42&gt;=Calc!L$1,$J42&lt;Calc!L$2)),SUMPRODUCT((Calc!T$6:T$105&lt;=$A42)*(Calc!AA$6:AA$105&gt;$A42))+SUMPRODUCT((Calc!Z$6:Z$105&lt;=$J42)*(Calc!AG$6:AG$105&gt;$J42)),"")</f>
        <v>1</v>
      </c>
      <c r="C42" s="13" t="n">
        <f aca="false">IF(OR(AND(Calc!G$3&gt;0,$A42&gt;=Calc!G$1,$A42&lt;Calc!G$2),AND(Calc!F$3&gt;0,$J42&gt;=Calc!F$1,$J42&lt;Calc!F$2)),SUMPRODUCT((Calc!U$6:U$105&lt;=$A42)*(Calc!AB$6:AB$105&gt;$A42))+SUMPRODUCT((Calc!T$6:T$105&lt;=$J42)*(Calc!AA$6:AA$105&gt;$J42)),"")</f>
        <v>1</v>
      </c>
      <c r="D42" s="13" t="n">
        <f aca="false">IF(OR(AND(Calc!H$3&gt;0,$A42&gt;=Calc!H$1,$A42&lt;Calc!H$2),AND(Calc!G$3&gt;0,$J42&gt;=Calc!G$1,$J42&lt;Calc!G$2)),SUMPRODUCT((Calc!V$6:V$105&lt;=$A42)*(Calc!AC$6:AC$105&gt;$A42))+SUMPRODUCT((Calc!U$6:U$105&lt;=$J42)*(Calc!AB$6:AB$105&gt;$J42)),"")</f>
        <v>1</v>
      </c>
      <c r="E42" s="13" t="n">
        <f aca="false">IF(OR(AND(Calc!I$3&gt;0,$A42&gt;=Calc!I$1,$A42&lt;Calc!I$2),AND(Calc!H$3&gt;0,$J42&gt;=Calc!H$1,$J42&lt;Calc!H$2)),SUMPRODUCT((Calc!W$6:W$105&lt;=$A42)*(Calc!AD$6:AD$105&gt;$A42))+SUMPRODUCT((Calc!V$6:V$105&lt;=$J42)*(Calc!AC$6:AC$105&gt;$J42)),"")</f>
        <v>1</v>
      </c>
      <c r="F42" s="13" t="n">
        <f aca="false">IF(OR(AND(Calc!J$3&gt;0,$A42&gt;=Calc!J$1,$A42&lt;Calc!J$2),AND(Calc!I$3&gt;0,$J42&gt;=Calc!I$1,$J42&lt;Calc!I$2)),SUMPRODUCT((Calc!X$6:X$105&lt;=$A42)*(Calc!AE$6:AE$105&gt;$A42))+SUMPRODUCT((Calc!W$6:W$105&lt;=$J42)*(Calc!AD$6:AD$105&gt;$J42)),"")</f>
        <v>1</v>
      </c>
      <c r="G42" s="13" t="n">
        <f aca="false">IF(OR(AND(Calc!K$3&gt;0,$A42&gt;=Calc!K$1,$A42&lt;Calc!K$2),AND(Calc!J$3&gt;0,$J42&gt;=Calc!J$1,$J42&lt;Calc!J$2)),SUMPRODUCT((Calc!Y$6:Y$105&lt;=$A42)*(Calc!AF$6:AF$105&gt;$A42))+SUMPRODUCT((Calc!X$6:X$105&lt;=$J42)*(Calc!AE$6:AE$105&gt;$J42)),"")</f>
        <v>1</v>
      </c>
      <c r="H42" s="13" t="n">
        <f aca="false">IF(OR(AND(Calc!L$3&gt;0,$A42&gt;=Calc!L$1,$A42&lt;Calc!L$2),AND(Calc!K$3&gt;0,$J42&gt;=Calc!K$1,$J42&lt;Calc!K$2)),SUMPRODUCT((Calc!Z$6:Z$105&lt;=$A42)*(Calc!AG$6:AG$105&gt;$A42))+SUMPRODUCT((Calc!Y$6:Y$105&lt;=$J42)*(Calc!AF$6:AF$105&gt;$J42)),"")</f>
        <v>1</v>
      </c>
      <c r="J42" s="14" t="n">
        <f aca="false">2520/1440</f>
        <v>1.75</v>
      </c>
    </row>
    <row r="43" customFormat="false" ht="15" hidden="false" customHeight="false" outlineLevel="0" collapsed="false">
      <c r="A43" s="15" t="n">
        <f aca="false">1110/1440</f>
        <v>0.770833333333333</v>
      </c>
      <c r="B43" s="13" t="str">
        <f aca="false">IF(OR(AND(Calc!F$3&gt;0,$A43&gt;=Calc!F$1,$A43&lt;Calc!F$2),AND(Calc!L$3&gt;0,$J43&gt;=Calc!L$1,$J43&lt;Calc!L$2)),SUMPRODUCT((Calc!T$6:T$105&lt;=$A43)*(Calc!AA$6:AA$105&gt;$A43))+SUMPRODUCT((Calc!Z$6:Z$105&lt;=$J43)*(Calc!AG$6:AG$105&gt;$J43)),"")</f>
        <v/>
      </c>
      <c r="C43" s="13" t="str">
        <f aca="false">IF(OR(AND(Calc!G$3&gt;0,$A43&gt;=Calc!G$1,$A43&lt;Calc!G$2),AND(Calc!F$3&gt;0,$J43&gt;=Calc!F$1,$J43&lt;Calc!F$2)),SUMPRODUCT((Calc!U$6:U$105&lt;=$A43)*(Calc!AB$6:AB$105&gt;$A43))+SUMPRODUCT((Calc!T$6:T$105&lt;=$J43)*(Calc!AA$6:AA$105&gt;$J43)),"")</f>
        <v/>
      </c>
      <c r="D43" s="13" t="str">
        <f aca="false">IF(OR(AND(Calc!H$3&gt;0,$A43&gt;=Calc!H$1,$A43&lt;Calc!H$2),AND(Calc!G$3&gt;0,$J43&gt;=Calc!G$1,$J43&lt;Calc!G$2)),SUMPRODUCT((Calc!V$6:V$105&lt;=$A43)*(Calc!AC$6:AC$105&gt;$A43))+SUMPRODUCT((Calc!U$6:U$105&lt;=$J43)*(Calc!AB$6:AB$105&gt;$J43)),"")</f>
        <v/>
      </c>
      <c r="E43" s="13" t="str">
        <f aca="false">IF(OR(AND(Calc!I$3&gt;0,$A43&gt;=Calc!I$1,$A43&lt;Calc!I$2),AND(Calc!H$3&gt;0,$J43&gt;=Calc!H$1,$J43&lt;Calc!H$2)),SUMPRODUCT((Calc!W$6:W$105&lt;=$A43)*(Calc!AD$6:AD$105&gt;$A43))+SUMPRODUCT((Calc!V$6:V$105&lt;=$J43)*(Calc!AC$6:AC$105&gt;$J43)),"")</f>
        <v/>
      </c>
      <c r="F43" s="13" t="str">
        <f aca="false">IF(OR(AND(Calc!J$3&gt;0,$A43&gt;=Calc!J$1,$A43&lt;Calc!J$2),AND(Calc!I$3&gt;0,$J43&gt;=Calc!I$1,$J43&lt;Calc!I$2)),SUMPRODUCT((Calc!X$6:X$105&lt;=$A43)*(Calc!AE$6:AE$105&gt;$A43))+SUMPRODUCT((Calc!W$6:W$105&lt;=$J43)*(Calc!AD$6:AD$105&gt;$J43)),"")</f>
        <v/>
      </c>
      <c r="G43" s="13" t="str">
        <f aca="false">IF(OR(AND(Calc!K$3&gt;0,$A43&gt;=Calc!K$1,$A43&lt;Calc!K$2),AND(Calc!J$3&gt;0,$J43&gt;=Calc!J$1,$J43&lt;Calc!J$2)),SUMPRODUCT((Calc!Y$6:Y$105&lt;=$A43)*(Calc!AF$6:AF$105&gt;$A43))+SUMPRODUCT((Calc!X$6:X$105&lt;=$J43)*(Calc!AE$6:AE$105&gt;$J43)),"")</f>
        <v/>
      </c>
      <c r="H43" s="13" t="str">
        <f aca="false">IF(OR(AND(Calc!L$3&gt;0,$A43&gt;=Calc!L$1,$A43&lt;Calc!L$2),AND(Calc!K$3&gt;0,$J43&gt;=Calc!K$1,$J43&lt;Calc!K$2)),SUMPRODUCT((Calc!Z$6:Z$105&lt;=$A43)*(Calc!AG$6:AG$105&gt;$A43))+SUMPRODUCT((Calc!Y$6:Y$105&lt;=$J43)*(Calc!AF$6:AF$105&gt;$J43)),"")</f>
        <v/>
      </c>
      <c r="J43" s="14" t="n">
        <f aca="false">2550/1440</f>
        <v>1.77083333333333</v>
      </c>
    </row>
    <row r="44" customFormat="false" ht="15" hidden="false" customHeight="false" outlineLevel="0" collapsed="false">
      <c r="A44" s="15" t="n">
        <f aca="false">1140/1440</f>
        <v>0.791666666666667</v>
      </c>
      <c r="B44" s="13" t="str">
        <f aca="false">IF(OR(AND(Calc!F$3&gt;0,$A44&gt;=Calc!F$1,$A44&lt;Calc!F$2),AND(Calc!L$3&gt;0,$J44&gt;=Calc!L$1,$J44&lt;Calc!L$2)),SUMPRODUCT((Calc!T$6:T$105&lt;=$A44)*(Calc!AA$6:AA$105&gt;$A44))+SUMPRODUCT((Calc!Z$6:Z$105&lt;=$J44)*(Calc!AG$6:AG$105&gt;$J44)),"")</f>
        <v/>
      </c>
      <c r="C44" s="13" t="str">
        <f aca="false">IF(OR(AND(Calc!G$3&gt;0,$A44&gt;=Calc!G$1,$A44&lt;Calc!G$2),AND(Calc!F$3&gt;0,$J44&gt;=Calc!F$1,$J44&lt;Calc!F$2)),SUMPRODUCT((Calc!U$6:U$105&lt;=$A44)*(Calc!AB$6:AB$105&gt;$A44))+SUMPRODUCT((Calc!T$6:T$105&lt;=$J44)*(Calc!AA$6:AA$105&gt;$J44)),"")</f>
        <v/>
      </c>
      <c r="D44" s="13" t="str">
        <f aca="false">IF(OR(AND(Calc!H$3&gt;0,$A44&gt;=Calc!H$1,$A44&lt;Calc!H$2),AND(Calc!G$3&gt;0,$J44&gt;=Calc!G$1,$J44&lt;Calc!G$2)),SUMPRODUCT((Calc!V$6:V$105&lt;=$A44)*(Calc!AC$6:AC$105&gt;$A44))+SUMPRODUCT((Calc!U$6:U$105&lt;=$J44)*(Calc!AB$6:AB$105&gt;$J44)),"")</f>
        <v/>
      </c>
      <c r="E44" s="13" t="str">
        <f aca="false">IF(OR(AND(Calc!I$3&gt;0,$A44&gt;=Calc!I$1,$A44&lt;Calc!I$2),AND(Calc!H$3&gt;0,$J44&gt;=Calc!H$1,$J44&lt;Calc!H$2)),SUMPRODUCT((Calc!W$6:W$105&lt;=$A44)*(Calc!AD$6:AD$105&gt;$A44))+SUMPRODUCT((Calc!V$6:V$105&lt;=$J44)*(Calc!AC$6:AC$105&gt;$J44)),"")</f>
        <v/>
      </c>
      <c r="F44" s="13" t="str">
        <f aca="false">IF(OR(AND(Calc!J$3&gt;0,$A44&gt;=Calc!J$1,$A44&lt;Calc!J$2),AND(Calc!I$3&gt;0,$J44&gt;=Calc!I$1,$J44&lt;Calc!I$2)),SUMPRODUCT((Calc!X$6:X$105&lt;=$A44)*(Calc!AE$6:AE$105&gt;$A44))+SUMPRODUCT((Calc!W$6:W$105&lt;=$J44)*(Calc!AD$6:AD$105&gt;$J44)),"")</f>
        <v/>
      </c>
      <c r="G44" s="13" t="str">
        <f aca="false">IF(OR(AND(Calc!K$3&gt;0,$A44&gt;=Calc!K$1,$A44&lt;Calc!K$2),AND(Calc!J$3&gt;0,$J44&gt;=Calc!J$1,$J44&lt;Calc!J$2)),SUMPRODUCT((Calc!Y$6:Y$105&lt;=$A44)*(Calc!AF$6:AF$105&gt;$A44))+SUMPRODUCT((Calc!X$6:X$105&lt;=$J44)*(Calc!AE$6:AE$105&gt;$J44)),"")</f>
        <v/>
      </c>
      <c r="H44" s="13" t="str">
        <f aca="false">IF(OR(AND(Calc!L$3&gt;0,$A44&gt;=Calc!L$1,$A44&lt;Calc!L$2),AND(Calc!K$3&gt;0,$J44&gt;=Calc!K$1,$J44&lt;Calc!K$2)),SUMPRODUCT((Calc!Z$6:Z$105&lt;=$A44)*(Calc!AG$6:AG$105&gt;$A44))+SUMPRODUCT((Calc!Y$6:Y$105&lt;=$J44)*(Calc!AF$6:AF$105&gt;$J44)),"")</f>
        <v/>
      </c>
      <c r="J44" s="14" t="n">
        <f aca="false">2580/1440</f>
        <v>1.79166666666667</v>
      </c>
    </row>
    <row r="45" customFormat="false" ht="15" hidden="false" customHeight="false" outlineLevel="0" collapsed="false">
      <c r="A45" s="15" t="n">
        <f aca="false">1170/1440</f>
        <v>0.8125</v>
      </c>
      <c r="B45" s="13" t="str">
        <f aca="false">IF(OR(AND(Calc!F$3&gt;0,$A45&gt;=Calc!F$1,$A45&lt;Calc!F$2),AND(Calc!L$3&gt;0,$J45&gt;=Calc!L$1,$J45&lt;Calc!L$2)),SUMPRODUCT((Calc!T$6:T$105&lt;=$A45)*(Calc!AA$6:AA$105&gt;$A45))+SUMPRODUCT((Calc!Z$6:Z$105&lt;=$J45)*(Calc!AG$6:AG$105&gt;$J45)),"")</f>
        <v/>
      </c>
      <c r="C45" s="13" t="str">
        <f aca="false">IF(OR(AND(Calc!G$3&gt;0,$A45&gt;=Calc!G$1,$A45&lt;Calc!G$2),AND(Calc!F$3&gt;0,$J45&gt;=Calc!F$1,$J45&lt;Calc!F$2)),SUMPRODUCT((Calc!U$6:U$105&lt;=$A45)*(Calc!AB$6:AB$105&gt;$A45))+SUMPRODUCT((Calc!T$6:T$105&lt;=$J45)*(Calc!AA$6:AA$105&gt;$J45)),"")</f>
        <v/>
      </c>
      <c r="D45" s="13" t="str">
        <f aca="false">IF(OR(AND(Calc!H$3&gt;0,$A45&gt;=Calc!H$1,$A45&lt;Calc!H$2),AND(Calc!G$3&gt;0,$J45&gt;=Calc!G$1,$J45&lt;Calc!G$2)),SUMPRODUCT((Calc!V$6:V$105&lt;=$A45)*(Calc!AC$6:AC$105&gt;$A45))+SUMPRODUCT((Calc!U$6:U$105&lt;=$J45)*(Calc!AB$6:AB$105&gt;$J45)),"")</f>
        <v/>
      </c>
      <c r="E45" s="13" t="str">
        <f aca="false">IF(OR(AND(Calc!I$3&gt;0,$A45&gt;=Calc!I$1,$A45&lt;Calc!I$2),AND(Calc!H$3&gt;0,$J45&gt;=Calc!H$1,$J45&lt;Calc!H$2)),SUMPRODUCT((Calc!W$6:W$105&lt;=$A45)*(Calc!AD$6:AD$105&gt;$A45))+SUMPRODUCT((Calc!V$6:V$105&lt;=$J45)*(Calc!AC$6:AC$105&gt;$J45)),"")</f>
        <v/>
      </c>
      <c r="F45" s="13" t="str">
        <f aca="false">IF(OR(AND(Calc!J$3&gt;0,$A45&gt;=Calc!J$1,$A45&lt;Calc!J$2),AND(Calc!I$3&gt;0,$J45&gt;=Calc!I$1,$J45&lt;Calc!I$2)),SUMPRODUCT((Calc!X$6:X$105&lt;=$A45)*(Calc!AE$6:AE$105&gt;$A45))+SUMPRODUCT((Calc!W$6:W$105&lt;=$J45)*(Calc!AD$6:AD$105&gt;$J45)),"")</f>
        <v/>
      </c>
      <c r="G45" s="13" t="str">
        <f aca="false">IF(OR(AND(Calc!K$3&gt;0,$A45&gt;=Calc!K$1,$A45&lt;Calc!K$2),AND(Calc!J$3&gt;0,$J45&gt;=Calc!J$1,$J45&lt;Calc!J$2)),SUMPRODUCT((Calc!Y$6:Y$105&lt;=$A45)*(Calc!AF$6:AF$105&gt;$A45))+SUMPRODUCT((Calc!X$6:X$105&lt;=$J45)*(Calc!AE$6:AE$105&gt;$J45)),"")</f>
        <v/>
      </c>
      <c r="H45" s="13" t="str">
        <f aca="false">IF(OR(AND(Calc!L$3&gt;0,$A45&gt;=Calc!L$1,$A45&lt;Calc!L$2),AND(Calc!K$3&gt;0,$J45&gt;=Calc!K$1,$J45&lt;Calc!K$2)),SUMPRODUCT((Calc!Z$6:Z$105&lt;=$A45)*(Calc!AG$6:AG$105&gt;$A45))+SUMPRODUCT((Calc!Y$6:Y$105&lt;=$J45)*(Calc!AF$6:AF$105&gt;$J45)),"")</f>
        <v/>
      </c>
      <c r="J45" s="14" t="n">
        <f aca="false">2610/1440</f>
        <v>1.8125</v>
      </c>
    </row>
    <row r="46" customFormat="false" ht="15" hidden="false" customHeight="false" outlineLevel="0" collapsed="false">
      <c r="A46" s="15" t="n">
        <f aca="false">1200/1440</f>
        <v>0.833333333333333</v>
      </c>
      <c r="B46" s="13" t="str">
        <f aca="false">IF(OR(AND(Calc!F$3&gt;0,$A46&gt;=Calc!F$1,$A46&lt;Calc!F$2),AND(Calc!L$3&gt;0,$J46&gt;=Calc!L$1,$J46&lt;Calc!L$2)),SUMPRODUCT((Calc!T$6:T$105&lt;=$A46)*(Calc!AA$6:AA$105&gt;$A46))+SUMPRODUCT((Calc!Z$6:Z$105&lt;=$J46)*(Calc!AG$6:AG$105&gt;$J46)),"")</f>
        <v/>
      </c>
      <c r="C46" s="13" t="str">
        <f aca="false">IF(OR(AND(Calc!G$3&gt;0,$A46&gt;=Calc!G$1,$A46&lt;Calc!G$2),AND(Calc!F$3&gt;0,$J46&gt;=Calc!F$1,$J46&lt;Calc!F$2)),SUMPRODUCT((Calc!U$6:U$105&lt;=$A46)*(Calc!AB$6:AB$105&gt;$A46))+SUMPRODUCT((Calc!T$6:T$105&lt;=$J46)*(Calc!AA$6:AA$105&gt;$J46)),"")</f>
        <v/>
      </c>
      <c r="D46" s="13" t="str">
        <f aca="false">IF(OR(AND(Calc!H$3&gt;0,$A46&gt;=Calc!H$1,$A46&lt;Calc!H$2),AND(Calc!G$3&gt;0,$J46&gt;=Calc!G$1,$J46&lt;Calc!G$2)),SUMPRODUCT((Calc!V$6:V$105&lt;=$A46)*(Calc!AC$6:AC$105&gt;$A46))+SUMPRODUCT((Calc!U$6:U$105&lt;=$J46)*(Calc!AB$6:AB$105&gt;$J46)),"")</f>
        <v/>
      </c>
      <c r="E46" s="13" t="str">
        <f aca="false">IF(OR(AND(Calc!I$3&gt;0,$A46&gt;=Calc!I$1,$A46&lt;Calc!I$2),AND(Calc!H$3&gt;0,$J46&gt;=Calc!H$1,$J46&lt;Calc!H$2)),SUMPRODUCT((Calc!W$6:W$105&lt;=$A46)*(Calc!AD$6:AD$105&gt;$A46))+SUMPRODUCT((Calc!V$6:V$105&lt;=$J46)*(Calc!AC$6:AC$105&gt;$J46)),"")</f>
        <v/>
      </c>
      <c r="F46" s="13" t="str">
        <f aca="false">IF(OR(AND(Calc!J$3&gt;0,$A46&gt;=Calc!J$1,$A46&lt;Calc!J$2),AND(Calc!I$3&gt;0,$J46&gt;=Calc!I$1,$J46&lt;Calc!I$2)),SUMPRODUCT((Calc!X$6:X$105&lt;=$A46)*(Calc!AE$6:AE$105&gt;$A46))+SUMPRODUCT((Calc!W$6:W$105&lt;=$J46)*(Calc!AD$6:AD$105&gt;$J46)),"")</f>
        <v/>
      </c>
      <c r="G46" s="13" t="str">
        <f aca="false">IF(OR(AND(Calc!K$3&gt;0,$A46&gt;=Calc!K$1,$A46&lt;Calc!K$2),AND(Calc!J$3&gt;0,$J46&gt;=Calc!J$1,$J46&lt;Calc!J$2)),SUMPRODUCT((Calc!Y$6:Y$105&lt;=$A46)*(Calc!AF$6:AF$105&gt;$A46))+SUMPRODUCT((Calc!X$6:X$105&lt;=$J46)*(Calc!AE$6:AE$105&gt;$J46)),"")</f>
        <v/>
      </c>
      <c r="H46" s="13" t="str">
        <f aca="false">IF(OR(AND(Calc!L$3&gt;0,$A46&gt;=Calc!L$1,$A46&lt;Calc!L$2),AND(Calc!K$3&gt;0,$J46&gt;=Calc!K$1,$J46&lt;Calc!K$2)),SUMPRODUCT((Calc!Z$6:Z$105&lt;=$A46)*(Calc!AG$6:AG$105&gt;$A46))+SUMPRODUCT((Calc!Y$6:Y$105&lt;=$J46)*(Calc!AF$6:AF$105&gt;$J46)),"")</f>
        <v/>
      </c>
      <c r="J46" s="14" t="n">
        <f aca="false">2640/1440</f>
        <v>1.83333333333333</v>
      </c>
    </row>
    <row r="47" customFormat="false" ht="15" hidden="false" customHeight="false" outlineLevel="0" collapsed="false">
      <c r="A47" s="15" t="n">
        <f aca="false">1230/1440</f>
        <v>0.854166666666667</v>
      </c>
      <c r="B47" s="13" t="str">
        <f aca="false">IF(OR(AND(Calc!F$3&gt;0,$A47&gt;=Calc!F$1,$A47&lt;Calc!F$2),AND(Calc!L$3&gt;0,$J47&gt;=Calc!L$1,$J47&lt;Calc!L$2)),SUMPRODUCT((Calc!T$6:T$105&lt;=$A47)*(Calc!AA$6:AA$105&gt;$A47))+SUMPRODUCT((Calc!Z$6:Z$105&lt;=$J47)*(Calc!AG$6:AG$105&gt;$J47)),"")</f>
        <v/>
      </c>
      <c r="C47" s="13" t="str">
        <f aca="false">IF(OR(AND(Calc!G$3&gt;0,$A47&gt;=Calc!G$1,$A47&lt;Calc!G$2),AND(Calc!F$3&gt;0,$J47&gt;=Calc!F$1,$J47&lt;Calc!F$2)),SUMPRODUCT((Calc!U$6:U$105&lt;=$A47)*(Calc!AB$6:AB$105&gt;$A47))+SUMPRODUCT((Calc!T$6:T$105&lt;=$J47)*(Calc!AA$6:AA$105&gt;$J47)),"")</f>
        <v/>
      </c>
      <c r="D47" s="13" t="str">
        <f aca="false">IF(OR(AND(Calc!H$3&gt;0,$A47&gt;=Calc!H$1,$A47&lt;Calc!H$2),AND(Calc!G$3&gt;0,$J47&gt;=Calc!G$1,$J47&lt;Calc!G$2)),SUMPRODUCT((Calc!V$6:V$105&lt;=$A47)*(Calc!AC$6:AC$105&gt;$A47))+SUMPRODUCT((Calc!U$6:U$105&lt;=$J47)*(Calc!AB$6:AB$105&gt;$J47)),"")</f>
        <v/>
      </c>
      <c r="E47" s="13" t="str">
        <f aca="false">IF(OR(AND(Calc!I$3&gt;0,$A47&gt;=Calc!I$1,$A47&lt;Calc!I$2),AND(Calc!H$3&gt;0,$J47&gt;=Calc!H$1,$J47&lt;Calc!H$2)),SUMPRODUCT((Calc!W$6:W$105&lt;=$A47)*(Calc!AD$6:AD$105&gt;$A47))+SUMPRODUCT((Calc!V$6:V$105&lt;=$J47)*(Calc!AC$6:AC$105&gt;$J47)),"")</f>
        <v/>
      </c>
      <c r="F47" s="13" t="str">
        <f aca="false">IF(OR(AND(Calc!J$3&gt;0,$A47&gt;=Calc!J$1,$A47&lt;Calc!J$2),AND(Calc!I$3&gt;0,$J47&gt;=Calc!I$1,$J47&lt;Calc!I$2)),SUMPRODUCT((Calc!X$6:X$105&lt;=$A47)*(Calc!AE$6:AE$105&gt;$A47))+SUMPRODUCT((Calc!W$6:W$105&lt;=$J47)*(Calc!AD$6:AD$105&gt;$J47)),"")</f>
        <v/>
      </c>
      <c r="G47" s="13" t="str">
        <f aca="false">IF(OR(AND(Calc!K$3&gt;0,$A47&gt;=Calc!K$1,$A47&lt;Calc!K$2),AND(Calc!J$3&gt;0,$J47&gt;=Calc!J$1,$J47&lt;Calc!J$2)),SUMPRODUCT((Calc!Y$6:Y$105&lt;=$A47)*(Calc!AF$6:AF$105&gt;$A47))+SUMPRODUCT((Calc!X$6:X$105&lt;=$J47)*(Calc!AE$6:AE$105&gt;$J47)),"")</f>
        <v/>
      </c>
      <c r="H47" s="13" t="str">
        <f aca="false">IF(OR(AND(Calc!L$3&gt;0,$A47&gt;=Calc!L$1,$A47&lt;Calc!L$2),AND(Calc!K$3&gt;0,$J47&gt;=Calc!K$1,$J47&lt;Calc!K$2)),SUMPRODUCT((Calc!Z$6:Z$105&lt;=$A47)*(Calc!AG$6:AG$105&gt;$A47))+SUMPRODUCT((Calc!Y$6:Y$105&lt;=$J47)*(Calc!AF$6:AF$105&gt;$J47)),"")</f>
        <v/>
      </c>
      <c r="J47" s="14" t="n">
        <f aca="false">2670/1440</f>
        <v>1.85416666666667</v>
      </c>
    </row>
    <row r="48" customFormat="false" ht="15" hidden="false" customHeight="false" outlineLevel="0" collapsed="false">
      <c r="A48" s="15" t="n">
        <f aca="false">1260/1440</f>
        <v>0.875</v>
      </c>
      <c r="B48" s="13" t="str">
        <f aca="false">IF(OR(AND(Calc!F$3&gt;0,$A48&gt;=Calc!F$1,$A48&lt;Calc!F$2),AND(Calc!L$3&gt;0,$J48&gt;=Calc!L$1,$J48&lt;Calc!L$2)),SUMPRODUCT((Calc!T$6:T$105&lt;=$A48)*(Calc!AA$6:AA$105&gt;$A48))+SUMPRODUCT((Calc!Z$6:Z$105&lt;=$J48)*(Calc!AG$6:AG$105&gt;$J48)),"")</f>
        <v/>
      </c>
      <c r="C48" s="13" t="str">
        <f aca="false">IF(OR(AND(Calc!G$3&gt;0,$A48&gt;=Calc!G$1,$A48&lt;Calc!G$2),AND(Calc!F$3&gt;0,$J48&gt;=Calc!F$1,$J48&lt;Calc!F$2)),SUMPRODUCT((Calc!U$6:U$105&lt;=$A48)*(Calc!AB$6:AB$105&gt;$A48))+SUMPRODUCT((Calc!T$6:T$105&lt;=$J48)*(Calc!AA$6:AA$105&gt;$J48)),"")</f>
        <v/>
      </c>
      <c r="D48" s="13" t="str">
        <f aca="false">IF(OR(AND(Calc!H$3&gt;0,$A48&gt;=Calc!H$1,$A48&lt;Calc!H$2),AND(Calc!G$3&gt;0,$J48&gt;=Calc!G$1,$J48&lt;Calc!G$2)),SUMPRODUCT((Calc!V$6:V$105&lt;=$A48)*(Calc!AC$6:AC$105&gt;$A48))+SUMPRODUCT((Calc!U$6:U$105&lt;=$J48)*(Calc!AB$6:AB$105&gt;$J48)),"")</f>
        <v/>
      </c>
      <c r="E48" s="13" t="str">
        <f aca="false">IF(OR(AND(Calc!I$3&gt;0,$A48&gt;=Calc!I$1,$A48&lt;Calc!I$2),AND(Calc!H$3&gt;0,$J48&gt;=Calc!H$1,$J48&lt;Calc!H$2)),SUMPRODUCT((Calc!W$6:W$105&lt;=$A48)*(Calc!AD$6:AD$105&gt;$A48))+SUMPRODUCT((Calc!V$6:V$105&lt;=$J48)*(Calc!AC$6:AC$105&gt;$J48)),"")</f>
        <v/>
      </c>
      <c r="F48" s="13" t="str">
        <f aca="false">IF(OR(AND(Calc!J$3&gt;0,$A48&gt;=Calc!J$1,$A48&lt;Calc!J$2),AND(Calc!I$3&gt;0,$J48&gt;=Calc!I$1,$J48&lt;Calc!I$2)),SUMPRODUCT((Calc!X$6:X$105&lt;=$A48)*(Calc!AE$6:AE$105&gt;$A48))+SUMPRODUCT((Calc!W$6:W$105&lt;=$J48)*(Calc!AD$6:AD$105&gt;$J48)),"")</f>
        <v/>
      </c>
      <c r="G48" s="13" t="str">
        <f aca="false">IF(OR(AND(Calc!K$3&gt;0,$A48&gt;=Calc!K$1,$A48&lt;Calc!K$2),AND(Calc!J$3&gt;0,$J48&gt;=Calc!J$1,$J48&lt;Calc!J$2)),SUMPRODUCT((Calc!Y$6:Y$105&lt;=$A48)*(Calc!AF$6:AF$105&gt;$A48))+SUMPRODUCT((Calc!X$6:X$105&lt;=$J48)*(Calc!AE$6:AE$105&gt;$J48)),"")</f>
        <v/>
      </c>
      <c r="H48" s="13" t="str">
        <f aca="false">IF(OR(AND(Calc!L$3&gt;0,$A48&gt;=Calc!L$1,$A48&lt;Calc!L$2),AND(Calc!K$3&gt;0,$J48&gt;=Calc!K$1,$J48&lt;Calc!K$2)),SUMPRODUCT((Calc!Z$6:Z$105&lt;=$A48)*(Calc!AG$6:AG$105&gt;$A48))+SUMPRODUCT((Calc!Y$6:Y$105&lt;=$J48)*(Calc!AF$6:AF$105&gt;$J48)),"")</f>
        <v/>
      </c>
      <c r="J48" s="14" t="n">
        <f aca="false">2700/1440</f>
        <v>1.875</v>
      </c>
    </row>
    <row r="49" customFormat="false" ht="15" hidden="false" customHeight="false" outlineLevel="0" collapsed="false">
      <c r="A49" s="15" t="n">
        <f aca="false">1290/1440</f>
        <v>0.895833333333333</v>
      </c>
      <c r="B49" s="13" t="str">
        <f aca="false">IF(OR(AND(Calc!F$3&gt;0,$A49&gt;=Calc!F$1,$A49&lt;Calc!F$2),AND(Calc!L$3&gt;0,$J49&gt;=Calc!L$1,$J49&lt;Calc!L$2)),SUMPRODUCT((Calc!T$6:T$105&lt;=$A49)*(Calc!AA$6:AA$105&gt;$A49))+SUMPRODUCT((Calc!Z$6:Z$105&lt;=$J49)*(Calc!AG$6:AG$105&gt;$J49)),"")</f>
        <v/>
      </c>
      <c r="C49" s="13" t="str">
        <f aca="false">IF(OR(AND(Calc!G$3&gt;0,$A49&gt;=Calc!G$1,$A49&lt;Calc!G$2),AND(Calc!F$3&gt;0,$J49&gt;=Calc!F$1,$J49&lt;Calc!F$2)),SUMPRODUCT((Calc!U$6:U$105&lt;=$A49)*(Calc!AB$6:AB$105&gt;$A49))+SUMPRODUCT((Calc!T$6:T$105&lt;=$J49)*(Calc!AA$6:AA$105&gt;$J49)),"")</f>
        <v/>
      </c>
      <c r="D49" s="13" t="str">
        <f aca="false">IF(OR(AND(Calc!H$3&gt;0,$A49&gt;=Calc!H$1,$A49&lt;Calc!H$2),AND(Calc!G$3&gt;0,$J49&gt;=Calc!G$1,$J49&lt;Calc!G$2)),SUMPRODUCT((Calc!V$6:V$105&lt;=$A49)*(Calc!AC$6:AC$105&gt;$A49))+SUMPRODUCT((Calc!U$6:U$105&lt;=$J49)*(Calc!AB$6:AB$105&gt;$J49)),"")</f>
        <v/>
      </c>
      <c r="E49" s="13" t="str">
        <f aca="false">IF(OR(AND(Calc!I$3&gt;0,$A49&gt;=Calc!I$1,$A49&lt;Calc!I$2),AND(Calc!H$3&gt;0,$J49&gt;=Calc!H$1,$J49&lt;Calc!H$2)),SUMPRODUCT((Calc!W$6:W$105&lt;=$A49)*(Calc!AD$6:AD$105&gt;$A49))+SUMPRODUCT((Calc!V$6:V$105&lt;=$J49)*(Calc!AC$6:AC$105&gt;$J49)),"")</f>
        <v/>
      </c>
      <c r="F49" s="13" t="str">
        <f aca="false">IF(OR(AND(Calc!J$3&gt;0,$A49&gt;=Calc!J$1,$A49&lt;Calc!J$2),AND(Calc!I$3&gt;0,$J49&gt;=Calc!I$1,$J49&lt;Calc!I$2)),SUMPRODUCT((Calc!X$6:X$105&lt;=$A49)*(Calc!AE$6:AE$105&gt;$A49))+SUMPRODUCT((Calc!W$6:W$105&lt;=$J49)*(Calc!AD$6:AD$105&gt;$J49)),"")</f>
        <v/>
      </c>
      <c r="G49" s="13" t="str">
        <f aca="false">IF(OR(AND(Calc!K$3&gt;0,$A49&gt;=Calc!K$1,$A49&lt;Calc!K$2),AND(Calc!J$3&gt;0,$J49&gt;=Calc!J$1,$J49&lt;Calc!J$2)),SUMPRODUCT((Calc!Y$6:Y$105&lt;=$A49)*(Calc!AF$6:AF$105&gt;$A49))+SUMPRODUCT((Calc!X$6:X$105&lt;=$J49)*(Calc!AE$6:AE$105&gt;$J49)),"")</f>
        <v/>
      </c>
      <c r="H49" s="13" t="str">
        <f aca="false">IF(OR(AND(Calc!L$3&gt;0,$A49&gt;=Calc!L$1,$A49&lt;Calc!L$2),AND(Calc!K$3&gt;0,$J49&gt;=Calc!K$1,$J49&lt;Calc!K$2)),SUMPRODUCT((Calc!Z$6:Z$105&lt;=$A49)*(Calc!AG$6:AG$105&gt;$A49))+SUMPRODUCT((Calc!Y$6:Y$105&lt;=$J49)*(Calc!AF$6:AF$105&gt;$J49)),"")</f>
        <v/>
      </c>
      <c r="J49" s="14" t="n">
        <f aca="false">2730/1440</f>
        <v>1.89583333333333</v>
      </c>
    </row>
    <row r="50" customFormat="false" ht="15" hidden="false" customHeight="false" outlineLevel="0" collapsed="false">
      <c r="A50" s="15" t="n">
        <f aca="false">1320/1440</f>
        <v>0.916666666666667</v>
      </c>
      <c r="B50" s="13" t="str">
        <f aca="false">IF(OR(AND(Calc!F$3&gt;0,$A50&gt;=Calc!F$1,$A50&lt;Calc!F$2),AND(Calc!L$3&gt;0,$J50&gt;=Calc!L$1,$J50&lt;Calc!L$2)),SUMPRODUCT((Calc!T$6:T$105&lt;=$A50)*(Calc!AA$6:AA$105&gt;$A50))+SUMPRODUCT((Calc!Z$6:Z$105&lt;=$J50)*(Calc!AG$6:AG$105&gt;$J50)),"")</f>
        <v/>
      </c>
      <c r="C50" s="13" t="str">
        <f aca="false">IF(OR(AND(Calc!G$3&gt;0,$A50&gt;=Calc!G$1,$A50&lt;Calc!G$2),AND(Calc!F$3&gt;0,$J50&gt;=Calc!F$1,$J50&lt;Calc!F$2)),SUMPRODUCT((Calc!U$6:U$105&lt;=$A50)*(Calc!AB$6:AB$105&gt;$A50))+SUMPRODUCT((Calc!T$6:T$105&lt;=$J50)*(Calc!AA$6:AA$105&gt;$J50)),"")</f>
        <v/>
      </c>
      <c r="D50" s="13" t="str">
        <f aca="false">IF(OR(AND(Calc!H$3&gt;0,$A50&gt;=Calc!H$1,$A50&lt;Calc!H$2),AND(Calc!G$3&gt;0,$J50&gt;=Calc!G$1,$J50&lt;Calc!G$2)),SUMPRODUCT((Calc!V$6:V$105&lt;=$A50)*(Calc!AC$6:AC$105&gt;$A50))+SUMPRODUCT((Calc!U$6:U$105&lt;=$J50)*(Calc!AB$6:AB$105&gt;$J50)),"")</f>
        <v/>
      </c>
      <c r="E50" s="13" t="str">
        <f aca="false">IF(OR(AND(Calc!I$3&gt;0,$A50&gt;=Calc!I$1,$A50&lt;Calc!I$2),AND(Calc!H$3&gt;0,$J50&gt;=Calc!H$1,$J50&lt;Calc!H$2)),SUMPRODUCT((Calc!W$6:W$105&lt;=$A50)*(Calc!AD$6:AD$105&gt;$A50))+SUMPRODUCT((Calc!V$6:V$105&lt;=$J50)*(Calc!AC$6:AC$105&gt;$J50)),"")</f>
        <v/>
      </c>
      <c r="F50" s="13" t="str">
        <f aca="false">IF(OR(AND(Calc!J$3&gt;0,$A50&gt;=Calc!J$1,$A50&lt;Calc!J$2),AND(Calc!I$3&gt;0,$J50&gt;=Calc!I$1,$J50&lt;Calc!I$2)),SUMPRODUCT((Calc!X$6:X$105&lt;=$A50)*(Calc!AE$6:AE$105&gt;$A50))+SUMPRODUCT((Calc!W$6:W$105&lt;=$J50)*(Calc!AD$6:AD$105&gt;$J50)),"")</f>
        <v/>
      </c>
      <c r="G50" s="13" t="str">
        <f aca="false">IF(OR(AND(Calc!K$3&gt;0,$A50&gt;=Calc!K$1,$A50&lt;Calc!K$2),AND(Calc!J$3&gt;0,$J50&gt;=Calc!J$1,$J50&lt;Calc!J$2)),SUMPRODUCT((Calc!Y$6:Y$105&lt;=$A50)*(Calc!AF$6:AF$105&gt;$A50))+SUMPRODUCT((Calc!X$6:X$105&lt;=$J50)*(Calc!AE$6:AE$105&gt;$J50)),"")</f>
        <v/>
      </c>
      <c r="H50" s="13" t="str">
        <f aca="false">IF(OR(AND(Calc!L$3&gt;0,$A50&gt;=Calc!L$1,$A50&lt;Calc!L$2),AND(Calc!K$3&gt;0,$J50&gt;=Calc!K$1,$J50&lt;Calc!K$2)),SUMPRODUCT((Calc!Z$6:Z$105&lt;=$A50)*(Calc!AG$6:AG$105&gt;$A50))+SUMPRODUCT((Calc!Y$6:Y$105&lt;=$J50)*(Calc!AF$6:AF$105&gt;$J50)),"")</f>
        <v/>
      </c>
      <c r="J50" s="14" t="n">
        <f aca="false">2760/1440</f>
        <v>1.91666666666667</v>
      </c>
    </row>
    <row r="51" customFormat="false" ht="15" hidden="false" customHeight="false" outlineLevel="0" collapsed="false">
      <c r="A51" s="15" t="n">
        <f aca="false">1350/1440</f>
        <v>0.9375</v>
      </c>
      <c r="B51" s="13" t="str">
        <f aca="false">IF(OR(AND(Calc!F$3&gt;0,$A51&gt;=Calc!F$1,$A51&lt;Calc!F$2),AND(Calc!L$3&gt;0,$J51&gt;=Calc!L$1,$J51&lt;Calc!L$2)),SUMPRODUCT((Calc!T$6:T$105&lt;=$A51)*(Calc!AA$6:AA$105&gt;$A51))+SUMPRODUCT((Calc!Z$6:Z$105&lt;=$J51)*(Calc!AG$6:AG$105&gt;$J51)),"")</f>
        <v/>
      </c>
      <c r="C51" s="13" t="str">
        <f aca="false">IF(OR(AND(Calc!G$3&gt;0,$A51&gt;=Calc!G$1,$A51&lt;Calc!G$2),AND(Calc!F$3&gt;0,$J51&gt;=Calc!F$1,$J51&lt;Calc!F$2)),SUMPRODUCT((Calc!U$6:U$105&lt;=$A51)*(Calc!AB$6:AB$105&gt;$A51))+SUMPRODUCT((Calc!T$6:T$105&lt;=$J51)*(Calc!AA$6:AA$105&gt;$J51)),"")</f>
        <v/>
      </c>
      <c r="D51" s="13" t="str">
        <f aca="false">IF(OR(AND(Calc!H$3&gt;0,$A51&gt;=Calc!H$1,$A51&lt;Calc!H$2),AND(Calc!G$3&gt;0,$J51&gt;=Calc!G$1,$J51&lt;Calc!G$2)),SUMPRODUCT((Calc!V$6:V$105&lt;=$A51)*(Calc!AC$6:AC$105&gt;$A51))+SUMPRODUCT((Calc!U$6:U$105&lt;=$J51)*(Calc!AB$6:AB$105&gt;$J51)),"")</f>
        <v/>
      </c>
      <c r="E51" s="13" t="str">
        <f aca="false">IF(OR(AND(Calc!I$3&gt;0,$A51&gt;=Calc!I$1,$A51&lt;Calc!I$2),AND(Calc!H$3&gt;0,$J51&gt;=Calc!H$1,$J51&lt;Calc!H$2)),SUMPRODUCT((Calc!W$6:W$105&lt;=$A51)*(Calc!AD$6:AD$105&gt;$A51))+SUMPRODUCT((Calc!V$6:V$105&lt;=$J51)*(Calc!AC$6:AC$105&gt;$J51)),"")</f>
        <v/>
      </c>
      <c r="F51" s="13" t="str">
        <f aca="false">IF(OR(AND(Calc!J$3&gt;0,$A51&gt;=Calc!J$1,$A51&lt;Calc!J$2),AND(Calc!I$3&gt;0,$J51&gt;=Calc!I$1,$J51&lt;Calc!I$2)),SUMPRODUCT((Calc!X$6:X$105&lt;=$A51)*(Calc!AE$6:AE$105&gt;$A51))+SUMPRODUCT((Calc!W$6:W$105&lt;=$J51)*(Calc!AD$6:AD$105&gt;$J51)),"")</f>
        <v/>
      </c>
      <c r="G51" s="13" t="str">
        <f aca="false">IF(OR(AND(Calc!K$3&gt;0,$A51&gt;=Calc!K$1,$A51&lt;Calc!K$2),AND(Calc!J$3&gt;0,$J51&gt;=Calc!J$1,$J51&lt;Calc!J$2)),SUMPRODUCT((Calc!Y$6:Y$105&lt;=$A51)*(Calc!AF$6:AF$105&gt;$A51))+SUMPRODUCT((Calc!X$6:X$105&lt;=$J51)*(Calc!AE$6:AE$105&gt;$J51)),"")</f>
        <v/>
      </c>
      <c r="H51" s="13" t="str">
        <f aca="false">IF(OR(AND(Calc!L$3&gt;0,$A51&gt;=Calc!L$1,$A51&lt;Calc!L$2),AND(Calc!K$3&gt;0,$J51&gt;=Calc!K$1,$J51&lt;Calc!K$2)),SUMPRODUCT((Calc!Z$6:Z$105&lt;=$A51)*(Calc!AG$6:AG$105&gt;$A51))+SUMPRODUCT((Calc!Y$6:Y$105&lt;=$J51)*(Calc!AF$6:AF$105&gt;$J51)),"")</f>
        <v/>
      </c>
      <c r="J51" s="14" t="n">
        <f aca="false">2790/1440</f>
        <v>1.9375</v>
      </c>
    </row>
    <row r="52" customFormat="false" ht="15" hidden="false" customHeight="false" outlineLevel="0" collapsed="false">
      <c r="A52" s="15" t="n">
        <f aca="false">1380/1440</f>
        <v>0.958333333333333</v>
      </c>
      <c r="B52" s="13" t="str">
        <f aca="false">IF(OR(AND(Calc!F$3&gt;0,$A52&gt;=Calc!F$1,$A52&lt;Calc!F$2),AND(Calc!L$3&gt;0,$J52&gt;=Calc!L$1,$J52&lt;Calc!L$2)),SUMPRODUCT((Calc!T$6:T$105&lt;=$A52)*(Calc!AA$6:AA$105&gt;$A52))+SUMPRODUCT((Calc!Z$6:Z$105&lt;=$J52)*(Calc!AG$6:AG$105&gt;$J52)),"")</f>
        <v/>
      </c>
      <c r="C52" s="13" t="str">
        <f aca="false">IF(OR(AND(Calc!G$3&gt;0,$A52&gt;=Calc!G$1,$A52&lt;Calc!G$2),AND(Calc!F$3&gt;0,$J52&gt;=Calc!F$1,$J52&lt;Calc!F$2)),SUMPRODUCT((Calc!U$6:U$105&lt;=$A52)*(Calc!AB$6:AB$105&gt;$A52))+SUMPRODUCT((Calc!T$6:T$105&lt;=$J52)*(Calc!AA$6:AA$105&gt;$J52)),"")</f>
        <v/>
      </c>
      <c r="D52" s="13" t="str">
        <f aca="false">IF(OR(AND(Calc!H$3&gt;0,$A52&gt;=Calc!H$1,$A52&lt;Calc!H$2),AND(Calc!G$3&gt;0,$J52&gt;=Calc!G$1,$J52&lt;Calc!G$2)),SUMPRODUCT((Calc!V$6:V$105&lt;=$A52)*(Calc!AC$6:AC$105&gt;$A52))+SUMPRODUCT((Calc!U$6:U$105&lt;=$J52)*(Calc!AB$6:AB$105&gt;$J52)),"")</f>
        <v/>
      </c>
      <c r="E52" s="13" t="str">
        <f aca="false">IF(OR(AND(Calc!I$3&gt;0,$A52&gt;=Calc!I$1,$A52&lt;Calc!I$2),AND(Calc!H$3&gt;0,$J52&gt;=Calc!H$1,$J52&lt;Calc!H$2)),SUMPRODUCT((Calc!W$6:W$105&lt;=$A52)*(Calc!AD$6:AD$105&gt;$A52))+SUMPRODUCT((Calc!V$6:V$105&lt;=$J52)*(Calc!AC$6:AC$105&gt;$J52)),"")</f>
        <v/>
      </c>
      <c r="F52" s="13" t="str">
        <f aca="false">IF(OR(AND(Calc!J$3&gt;0,$A52&gt;=Calc!J$1,$A52&lt;Calc!J$2),AND(Calc!I$3&gt;0,$J52&gt;=Calc!I$1,$J52&lt;Calc!I$2)),SUMPRODUCT((Calc!X$6:X$105&lt;=$A52)*(Calc!AE$6:AE$105&gt;$A52))+SUMPRODUCT((Calc!W$6:W$105&lt;=$J52)*(Calc!AD$6:AD$105&gt;$J52)),"")</f>
        <v/>
      </c>
      <c r="G52" s="13" t="str">
        <f aca="false">IF(OR(AND(Calc!K$3&gt;0,$A52&gt;=Calc!K$1,$A52&lt;Calc!K$2),AND(Calc!J$3&gt;0,$J52&gt;=Calc!J$1,$J52&lt;Calc!J$2)),SUMPRODUCT((Calc!Y$6:Y$105&lt;=$A52)*(Calc!AF$6:AF$105&gt;$A52))+SUMPRODUCT((Calc!X$6:X$105&lt;=$J52)*(Calc!AE$6:AE$105&gt;$J52)),"")</f>
        <v/>
      </c>
      <c r="H52" s="13" t="str">
        <f aca="false">IF(OR(AND(Calc!L$3&gt;0,$A52&gt;=Calc!L$1,$A52&lt;Calc!L$2),AND(Calc!K$3&gt;0,$J52&gt;=Calc!K$1,$J52&lt;Calc!K$2)),SUMPRODUCT((Calc!Z$6:Z$105&lt;=$A52)*(Calc!AG$6:AG$105&gt;$A52))+SUMPRODUCT((Calc!Y$6:Y$105&lt;=$J52)*(Calc!AF$6:AF$105&gt;$J52)),"")</f>
        <v/>
      </c>
      <c r="J52" s="14" t="n">
        <f aca="false">2820/1440</f>
        <v>1.95833333333333</v>
      </c>
    </row>
    <row r="53" customFormat="false" ht="15" hidden="false" customHeight="false" outlineLevel="0" collapsed="false">
      <c r="A53" s="15" t="n">
        <f aca="false">1410/1440</f>
        <v>0.979166666666667</v>
      </c>
      <c r="B53" s="13" t="str">
        <f aca="false">IF(OR(AND(Calc!F$3&gt;0,$A53&gt;=Calc!F$1,$A53&lt;Calc!F$2),AND(Calc!L$3&gt;0,$J53&gt;=Calc!L$1,$J53&lt;Calc!L$2)),SUMPRODUCT((Calc!T$6:T$105&lt;=$A53)*(Calc!AA$6:AA$105&gt;$A53))+SUMPRODUCT((Calc!Z$6:Z$105&lt;=$J53)*(Calc!AG$6:AG$105&gt;$J53)),"")</f>
        <v/>
      </c>
      <c r="C53" s="13" t="str">
        <f aca="false">IF(OR(AND(Calc!G$3&gt;0,$A53&gt;=Calc!G$1,$A53&lt;Calc!G$2),AND(Calc!F$3&gt;0,$J53&gt;=Calc!F$1,$J53&lt;Calc!F$2)),SUMPRODUCT((Calc!U$6:U$105&lt;=$A53)*(Calc!AB$6:AB$105&gt;$A53))+SUMPRODUCT((Calc!T$6:T$105&lt;=$J53)*(Calc!AA$6:AA$105&gt;$J53)),"")</f>
        <v/>
      </c>
      <c r="D53" s="13" t="str">
        <f aca="false">IF(OR(AND(Calc!H$3&gt;0,$A53&gt;=Calc!H$1,$A53&lt;Calc!H$2),AND(Calc!G$3&gt;0,$J53&gt;=Calc!G$1,$J53&lt;Calc!G$2)),SUMPRODUCT((Calc!V$6:V$105&lt;=$A53)*(Calc!AC$6:AC$105&gt;$A53))+SUMPRODUCT((Calc!U$6:U$105&lt;=$J53)*(Calc!AB$6:AB$105&gt;$J53)),"")</f>
        <v/>
      </c>
      <c r="E53" s="13" t="str">
        <f aca="false">IF(OR(AND(Calc!I$3&gt;0,$A53&gt;=Calc!I$1,$A53&lt;Calc!I$2),AND(Calc!H$3&gt;0,$J53&gt;=Calc!H$1,$J53&lt;Calc!H$2)),SUMPRODUCT((Calc!W$6:W$105&lt;=$A53)*(Calc!AD$6:AD$105&gt;$A53))+SUMPRODUCT((Calc!V$6:V$105&lt;=$J53)*(Calc!AC$6:AC$105&gt;$J53)),"")</f>
        <v/>
      </c>
      <c r="F53" s="13" t="str">
        <f aca="false">IF(OR(AND(Calc!J$3&gt;0,$A53&gt;=Calc!J$1,$A53&lt;Calc!J$2),AND(Calc!I$3&gt;0,$J53&gt;=Calc!I$1,$J53&lt;Calc!I$2)),SUMPRODUCT((Calc!X$6:X$105&lt;=$A53)*(Calc!AE$6:AE$105&gt;$A53))+SUMPRODUCT((Calc!W$6:W$105&lt;=$J53)*(Calc!AD$6:AD$105&gt;$J53)),"")</f>
        <v/>
      </c>
      <c r="G53" s="13" t="str">
        <f aca="false">IF(OR(AND(Calc!K$3&gt;0,$A53&gt;=Calc!K$1,$A53&lt;Calc!K$2),AND(Calc!J$3&gt;0,$J53&gt;=Calc!J$1,$J53&lt;Calc!J$2)),SUMPRODUCT((Calc!Y$6:Y$105&lt;=$A53)*(Calc!AF$6:AF$105&gt;$A53))+SUMPRODUCT((Calc!X$6:X$105&lt;=$J53)*(Calc!AE$6:AE$105&gt;$J53)),"")</f>
        <v/>
      </c>
      <c r="H53" s="13" t="str">
        <f aca="false">IF(OR(AND(Calc!L$3&gt;0,$A53&gt;=Calc!L$1,$A53&lt;Calc!L$2),AND(Calc!K$3&gt;0,$J53&gt;=Calc!K$1,$J53&lt;Calc!K$2)),SUMPRODUCT((Calc!Z$6:Z$105&lt;=$A53)*(Calc!AG$6:AG$105&gt;$A53))+SUMPRODUCT((Calc!Y$6:Y$105&lt;=$J53)*(Calc!AF$6:AF$105&gt;$J53)),"")</f>
        <v/>
      </c>
      <c r="J53" s="14" t="n">
        <f aca="false">2850/1440</f>
        <v>1.97916666666667</v>
      </c>
    </row>
    <row r="56" customFormat="false" ht="15" hidden="false" customHeight="false" outlineLevel="0" collapsed="false">
      <c r="A56" s="8" t="s">
        <v>52</v>
      </c>
      <c r="B56" s="16" t="n">
        <f aca="false">IF(COUNT(B6:B53)=0,"",MAX(B6:B53))</f>
        <v>7</v>
      </c>
      <c r="C56" s="16" t="n">
        <f aca="false">IF(COUNT(C6:C53)=0,"",MAX(C6:C53))</f>
        <v>7</v>
      </c>
      <c r="D56" s="16" t="n">
        <f aca="false">IF(COUNT(D6:D53)=0,"",MAX(D6:D53))</f>
        <v>8</v>
      </c>
      <c r="E56" s="16" t="n">
        <f aca="false">IF(COUNT(E6:E53)=0,"",MAX(E6:E53))</f>
        <v>7</v>
      </c>
      <c r="F56" s="16" t="n">
        <f aca="false">IF(COUNT(F6:F53)=0,"",MAX(F6:F53))</f>
        <v>8</v>
      </c>
      <c r="G56" s="16" t="n">
        <f aca="false">IF(COUNT(G6:G53)=0,"",MAX(G6:G53))</f>
        <v>7</v>
      </c>
      <c r="H56" s="16" t="n">
        <f aca="false">IF(COUNT(H6:H53)=0,"",MAX(H6:H53))</f>
        <v>6</v>
      </c>
    </row>
    <row r="57" customFormat="false" ht="15" hidden="false" customHeight="false" outlineLevel="0" collapsed="false">
      <c r="A57" s="8" t="s">
        <v>53</v>
      </c>
      <c r="B57" s="16" t="n">
        <f aca="false">IF(COUNT(B6:B53)=0,"",MIN(B6:B53))</f>
        <v>1</v>
      </c>
      <c r="C57" s="16" t="n">
        <f aca="false">IF(COUNT(C6:C53)=0,"",MIN(C6:C53))</f>
        <v>1</v>
      </c>
      <c r="D57" s="16" t="n">
        <f aca="false">IF(COUNT(D6:D53)=0,"",MIN(D6:D53))</f>
        <v>1</v>
      </c>
      <c r="E57" s="16" t="n">
        <f aca="false">IF(COUNT(E6:E53)=0,"",MIN(E6:E53))</f>
        <v>1</v>
      </c>
      <c r="F57" s="16" t="n">
        <f aca="false">IF(COUNT(F6:F53)=0,"",MIN(F6:F53))</f>
        <v>1</v>
      </c>
      <c r="G57" s="16" t="n">
        <f aca="false">IF(COUNT(G6:G53)=0,"",MIN(G6:G53))</f>
        <v>1</v>
      </c>
      <c r="H57" s="16" t="n">
        <f aca="false">IF(COUNT(H6:H53)=0,"",MIN(H6:H53))</f>
        <v>1</v>
      </c>
    </row>
    <row r="58" customFormat="false" ht="15" hidden="false" customHeight="false" outlineLevel="0" collapsed="false">
      <c r="A58" s="8" t="s">
        <v>54</v>
      </c>
      <c r="B58" s="9" t="n">
        <f aca="false">COUNTIF(B6:B53,"&lt;"&amp;Inputs!$B$7)</f>
        <v>0</v>
      </c>
      <c r="C58" s="9" t="n">
        <f aca="false">COUNTIF(C6:C53,"&lt;"&amp;Inputs!$B$7)</f>
        <v>0</v>
      </c>
      <c r="D58" s="9" t="n">
        <f aca="false">COUNTIF(D6:D53,"&lt;"&amp;Inputs!$B$7)</f>
        <v>0</v>
      </c>
      <c r="E58" s="9" t="n">
        <f aca="false">COUNTIF(E6:E53,"&lt;"&amp;Inputs!$B$7)</f>
        <v>0</v>
      </c>
      <c r="F58" s="9" t="n">
        <f aca="false">COUNTIF(F6:F53,"&lt;"&amp;Inputs!$B$7)</f>
        <v>0</v>
      </c>
      <c r="G58" s="9" t="n">
        <f aca="false">COUNTIF(G6:G53,"&lt;"&amp;Inputs!$B$7)</f>
        <v>0</v>
      </c>
      <c r="H58" s="9" t="n">
        <f aca="false">COUNTIF(H6:H53,"&lt;"&amp;Inputs!$B$7)</f>
        <v>0</v>
      </c>
    </row>
    <row r="59" customFormat="false" ht="15" hidden="false" customHeight="false" outlineLevel="0" collapsed="false">
      <c r="A59" s="3" t="s">
        <v>55</v>
      </c>
    </row>
  </sheetData>
  <conditionalFormatting sqref="B6:H53">
    <cfRule type="cellIs" priority="2" operator="lessThan" aboveAverage="0" equalAverage="0" bottom="0" percent="0" rank="0" text="" dxfId="1">
      <formula>Inputs!$B$7</formula>
    </cfRule>
    <cfRule type="cellIs" priority="3" operator="equal" aboveAverage="0" equalAverage="0" bottom="0" percent="0" rank="0" text="" dxfId="2">
      <formula>Inputs!$B$7</formula>
    </cfRule>
    <cfRule type="cellIs" priority="4" operator="greaterThan" aboveAverage="0" equalAverage="0" bottom="0" percent="0" rank="0" text="" dxfId="3">
      <formula>Inputs!$B$7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U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sheetData>
    <row r="1" customFormat="false" ht="15" hidden="false" customHeight="false" outlineLevel="0" collapsed="false">
      <c r="A1" s="8" t="s">
        <v>56</v>
      </c>
      <c r="F1" s="17" t="n">
        <f aca="false">IF(Inputs!$D11=0,0,ROUND(Inputs!$B11*1440,0)/1440)</f>
        <v>0.25</v>
      </c>
      <c r="G1" s="17" t="n">
        <f aca="false">IF(Inputs!$D12=0,0,ROUND(Inputs!$B12*1440,0)/1440)</f>
        <v>0.25</v>
      </c>
      <c r="H1" s="17" t="n">
        <f aca="false">IF(Inputs!$D13=0,0,ROUND(Inputs!$B13*1440,0)/1440)</f>
        <v>0.25</v>
      </c>
      <c r="I1" s="17" t="n">
        <f aca="false">IF(Inputs!$D14=0,0,ROUND(Inputs!$B14*1440,0)/1440)</f>
        <v>0.25</v>
      </c>
      <c r="J1" s="17" t="n">
        <f aca="false">IF(Inputs!$D15=0,0,ROUND(Inputs!$B15*1440,0)/1440)</f>
        <v>0.25</v>
      </c>
      <c r="K1" s="17" t="n">
        <f aca="false">IF(Inputs!$D16=0,0,ROUND(Inputs!$B16*1440,0)/1440)</f>
        <v>0.25</v>
      </c>
      <c r="L1" s="17" t="n">
        <f aca="false">IF(Inputs!$D17=0,0,ROUND(Inputs!$B17*1440,0)/1440)</f>
        <v>0.25</v>
      </c>
      <c r="AO1" s="0" t="n">
        <v>0</v>
      </c>
      <c r="AP1" s="0" t="n">
        <v>1</v>
      </c>
      <c r="AQ1" s="0" t="n">
        <v>2</v>
      </c>
      <c r="AR1" s="0" t="n">
        <v>3</v>
      </c>
      <c r="AS1" s="0" t="n">
        <v>4</v>
      </c>
      <c r="AT1" s="0" t="n">
        <v>5</v>
      </c>
      <c r="AU1" s="0" t="n">
        <v>6</v>
      </c>
    </row>
    <row r="2" customFormat="false" ht="15" hidden="false" customHeight="false" outlineLevel="0" collapsed="false">
      <c r="F2" s="18" t="n">
        <f aca="false">IF(Inputs!$D11=0,0,ROUND(F1*1440+Inputs!$D11*60,0)/1440)</f>
        <v>0.770833333333333</v>
      </c>
      <c r="G2" s="18" t="n">
        <f aca="false">IF(Inputs!$D12=0,0,ROUND(G1*1440+Inputs!$D12*60,0)/1440)</f>
        <v>0.770833333333333</v>
      </c>
      <c r="H2" s="18" t="n">
        <f aca="false">IF(Inputs!$D13=0,0,ROUND(H1*1440+Inputs!$D13*60,0)/1440)</f>
        <v>0.770833333333333</v>
      </c>
      <c r="I2" s="18" t="n">
        <f aca="false">IF(Inputs!$D14=0,0,ROUND(I1*1440+Inputs!$D14*60,0)/1440)</f>
        <v>0.770833333333333</v>
      </c>
      <c r="J2" s="18" t="n">
        <f aca="false">IF(Inputs!$D15=0,0,ROUND(J1*1440+Inputs!$D15*60,0)/1440)</f>
        <v>0.770833333333333</v>
      </c>
      <c r="K2" s="18" t="n">
        <f aca="false">IF(Inputs!$D16=0,0,ROUND(K1*1440+Inputs!$D16*60,0)/1440)</f>
        <v>0.770833333333333</v>
      </c>
      <c r="L2" s="18" t="n">
        <f aca="false">IF(Inputs!$D17=0,0,ROUND(L1*1440+Inputs!$D17*60,0)/1440)</f>
        <v>0.770833333333333</v>
      </c>
      <c r="AO2" s="19" t="n">
        <f aca="false">Inputs!$G$11</f>
        <v>2</v>
      </c>
      <c r="AP2" s="19" t="n">
        <f aca="false">Inputs!$G$12</f>
        <v>2</v>
      </c>
      <c r="AQ2" s="19" t="n">
        <f aca="false">Inputs!$G$13</f>
        <v>2</v>
      </c>
      <c r="AR2" s="19" t="n">
        <f aca="false">Inputs!$G$14</f>
        <v>2</v>
      </c>
      <c r="AS2" s="19" t="n">
        <f aca="false">Inputs!$G$15</f>
        <v>2</v>
      </c>
      <c r="AT2" s="19" t="n">
        <f aca="false">Inputs!$G$16</f>
        <v>2</v>
      </c>
      <c r="AU2" s="19" t="n">
        <f aca="false">Inputs!$G$17</f>
        <v>2</v>
      </c>
    </row>
    <row r="3" customFormat="false" ht="15" hidden="false" customHeight="false" outlineLevel="0" collapsed="false">
      <c r="F3" s="20" t="n">
        <f aca="false">Inputs!$E11</f>
        <v>8.5</v>
      </c>
      <c r="G3" s="20" t="n">
        <f aca="false">Inputs!$E12</f>
        <v>8.5</v>
      </c>
      <c r="H3" s="20" t="n">
        <f aca="false">Inputs!$E13</f>
        <v>8.5</v>
      </c>
      <c r="I3" s="20" t="n">
        <f aca="false">Inputs!$E14</f>
        <v>8.5</v>
      </c>
      <c r="J3" s="20" t="n">
        <f aca="false">Inputs!$E15</f>
        <v>8.5</v>
      </c>
      <c r="K3" s="20" t="n">
        <f aca="false">Inputs!$E16</f>
        <v>8.5</v>
      </c>
      <c r="L3" s="20" t="n">
        <f aca="false">Inputs!$E17</f>
        <v>8.5</v>
      </c>
      <c r="M3" s="19" t="n">
        <f aca="false">SUM(F6:F105)</f>
        <v>7</v>
      </c>
      <c r="N3" s="19" t="n">
        <f aca="false">SUM(G6:G105)</f>
        <v>7</v>
      </c>
      <c r="O3" s="19" t="n">
        <f aca="false">SUM(H6:H105)</f>
        <v>8</v>
      </c>
      <c r="P3" s="19" t="n">
        <f aca="false">SUM(I6:I105)</f>
        <v>7</v>
      </c>
      <c r="Q3" s="19" t="n">
        <f aca="false">SUM(J6:J105)</f>
        <v>8</v>
      </c>
      <c r="R3" s="19" t="n">
        <f aca="false">SUM(K6:K105)</f>
        <v>7</v>
      </c>
      <c r="S3" s="19" t="n">
        <f aca="false">SUM(L6:L105)</f>
        <v>6</v>
      </c>
    </row>
    <row r="4" customFormat="false" ht="35.05" hidden="false" customHeight="false" outlineLevel="0" collapsed="false">
      <c r="A4" s="10" t="s">
        <v>36</v>
      </c>
      <c r="B4" s="10" t="s">
        <v>57</v>
      </c>
      <c r="C4" s="10" t="s">
        <v>58</v>
      </c>
      <c r="D4" s="10" t="s">
        <v>59</v>
      </c>
      <c r="E4" s="10" t="s">
        <v>60</v>
      </c>
      <c r="F4" s="10" t="s">
        <v>61</v>
      </c>
      <c r="G4" s="10" t="s">
        <v>62</v>
      </c>
      <c r="H4" s="10" t="s">
        <v>63</v>
      </c>
      <c r="I4" s="10" t="s">
        <v>64</v>
      </c>
      <c r="J4" s="10" t="s">
        <v>65</v>
      </c>
      <c r="K4" s="10" t="s">
        <v>66</v>
      </c>
      <c r="L4" s="10" t="s">
        <v>67</v>
      </c>
      <c r="M4" s="10" t="s">
        <v>68</v>
      </c>
      <c r="N4" s="10" t="s">
        <v>69</v>
      </c>
      <c r="O4" s="10" t="s">
        <v>70</v>
      </c>
      <c r="P4" s="10" t="s">
        <v>71</v>
      </c>
      <c r="Q4" s="10" t="s">
        <v>72</v>
      </c>
      <c r="R4" s="10" t="s">
        <v>73</v>
      </c>
      <c r="S4" s="10" t="s">
        <v>74</v>
      </c>
      <c r="T4" s="10" t="s">
        <v>75</v>
      </c>
      <c r="U4" s="10" t="s">
        <v>76</v>
      </c>
      <c r="V4" s="10" t="s">
        <v>77</v>
      </c>
      <c r="W4" s="10" t="s">
        <v>78</v>
      </c>
      <c r="X4" s="10" t="s">
        <v>79</v>
      </c>
      <c r="Y4" s="10" t="s">
        <v>80</v>
      </c>
      <c r="Z4" s="10" t="s">
        <v>81</v>
      </c>
      <c r="AA4" s="10" t="s">
        <v>82</v>
      </c>
      <c r="AB4" s="10" t="s">
        <v>83</v>
      </c>
      <c r="AC4" s="10" t="s">
        <v>84</v>
      </c>
      <c r="AD4" s="10" t="s">
        <v>85</v>
      </c>
      <c r="AE4" s="10" t="s">
        <v>86</v>
      </c>
      <c r="AF4" s="10" t="s">
        <v>87</v>
      </c>
      <c r="AG4" s="10" t="s">
        <v>88</v>
      </c>
      <c r="AH4" s="10" t="s">
        <v>89</v>
      </c>
      <c r="AI4" s="10" t="s">
        <v>90</v>
      </c>
      <c r="AJ4" s="10" t="s">
        <v>91</v>
      </c>
      <c r="AK4" s="10" t="s">
        <v>92</v>
      </c>
      <c r="AL4" s="10" t="s">
        <v>93</v>
      </c>
      <c r="AM4" s="10" t="s">
        <v>94</v>
      </c>
      <c r="AN4" s="10" t="s">
        <v>95</v>
      </c>
      <c r="AO4" s="10" t="s">
        <v>96</v>
      </c>
      <c r="AP4" s="10" t="s">
        <v>97</v>
      </c>
      <c r="AQ4" s="10" t="s">
        <v>98</v>
      </c>
      <c r="AR4" s="10" t="s">
        <v>99</v>
      </c>
      <c r="AS4" s="10" t="s">
        <v>100</v>
      </c>
      <c r="AT4" s="10" t="s">
        <v>101</v>
      </c>
      <c r="AU4" s="10" t="s">
        <v>102</v>
      </c>
    </row>
    <row r="5" customFormat="false" ht="15" hidden="false" customHeight="false" outlineLevel="0" collapsed="false">
      <c r="A5" s="0" t="s">
        <v>103</v>
      </c>
      <c r="AO5" s="0" t="n">
        <v>0</v>
      </c>
      <c r="AP5" s="0" t="n">
        <v>0</v>
      </c>
      <c r="AQ5" s="0" t="n">
        <v>0</v>
      </c>
      <c r="AR5" s="0" t="n">
        <v>0</v>
      </c>
      <c r="AS5" s="0" t="n">
        <v>0</v>
      </c>
      <c r="AT5" s="0" t="n">
        <v>0</v>
      </c>
      <c r="AU5" s="0" t="n">
        <v>0</v>
      </c>
    </row>
    <row r="6" customFormat="false" ht="15" hidden="false" customHeight="false" outlineLevel="0" collapsed="false">
      <c r="A6" s="0" t="n">
        <v>1</v>
      </c>
      <c r="B6" s="0" t="n">
        <f aca="false">IF(A6&lt;=Inputs!$B$3,1,0)</f>
        <v>1</v>
      </c>
      <c r="C6" s="0" t="n">
        <f aca="false">MOD(5+MOD(A6-1,7),7)</f>
        <v>5</v>
      </c>
      <c r="D6" s="0" t="n">
        <f aca="false">IF(Inputs!C23&lt;&gt;"",MATCH(Inputs!C23,Inputs!$A$11:$A$17,0)-1,IF(B6=0,0,MATCH(MIN(AH6:AN6),AH6:AN6,0)-1))</f>
        <v>5</v>
      </c>
      <c r="F6" s="0" t="n">
        <f aca="false">IF(OR($B6=0,F$3=0),0,IF(MOD(0-$D6,7)&lt;Inputs!$B$6,0,1))</f>
        <v>1</v>
      </c>
      <c r="G6" s="0" t="n">
        <f aca="false">IF(OR($B6=0,G$3=0),0,IF(MOD(1-$D6,7)&lt;Inputs!$B$6,0,1))</f>
        <v>1</v>
      </c>
      <c r="H6" s="0" t="n">
        <f aca="false">IF(OR($B6=0,H$3=0),0,IF(MOD(2-$D6,7)&lt;Inputs!$B$6,0,1))</f>
        <v>1</v>
      </c>
      <c r="I6" s="0" t="n">
        <f aca="false">IF(OR($B6=0,I$3=0),0,IF(MOD(3-$D6,7)&lt;Inputs!$B$6,0,1))</f>
        <v>1</v>
      </c>
      <c r="J6" s="0" t="n">
        <f aca="false">IF(OR($B6=0,J$3=0),0,IF(MOD(4-$D6,7)&lt;Inputs!$B$6,0,1))</f>
        <v>1</v>
      </c>
      <c r="K6" s="0" t="n">
        <f aca="false">IF(OR($B6=0,K$3=0),0,IF(MOD(5-$D6,7)&lt;Inputs!$B$6,0,1))</f>
        <v>0</v>
      </c>
      <c r="L6" s="0" t="n">
        <f aca="false">IF(OR($B6=0,L$3=0),0,IF(MOD(6-$D6,7)&lt;Inputs!$B$6,0,1))</f>
        <v>0</v>
      </c>
      <c r="M6" s="0" t="n">
        <f aca="false">SUM(F$6:F6)</f>
        <v>1</v>
      </c>
      <c r="N6" s="0" t="n">
        <f aca="false">SUM(G$6:G6)</f>
        <v>1</v>
      </c>
      <c r="O6" s="0" t="n">
        <f aca="false">SUM(H$6:H6)</f>
        <v>1</v>
      </c>
      <c r="P6" s="0" t="n">
        <f aca="false">SUM(I$6:I6)</f>
        <v>1</v>
      </c>
      <c r="Q6" s="0" t="n">
        <f aca="false">SUM(J$6:J6)</f>
        <v>1</v>
      </c>
      <c r="R6" s="0" t="n">
        <f aca="false">SUM(K$6:K6)</f>
        <v>0</v>
      </c>
      <c r="S6" s="0" t="n">
        <f aca="false">SUM(L$6:L6)</f>
        <v>0</v>
      </c>
      <c r="T6" s="18" t="n">
        <f aca="false">IF(F6=0,0,IF(Inputs!$D23="Open",F$1,IF(Inputs!$D23="Close",ROUND(F$2*1440-F$3*60,0)/1440,IF(OR(INT((M6-1)/Inputs!$B$7)=0,(INT((M$3-1-MOD(M6-1,Inputs!$B$7))/Inputs!$B$7)+1)&lt;=1),F$1,IF(INT((M6-1)/Inputs!$B$7)&gt;=(INT((M$3-1-MOD(M6-1,Inputs!$B$7))/Inputs!$B$7)+1)-1,ROUND(F$2*1440-F$3*60,0)/1440,MAX(F$1,MIN(ROUND(F$2*1440-F$3*60,0)/1440,ROUND((F$1+INT((M6-1)/Inputs!$B$7)/((INT((M$3-1-MOD(M6-1,Inputs!$B$7))/Inputs!$B$7)+1)-1)*((ROUND(F$2*1440-F$3*60,0)/1440)-F$1))*96,0)/96)))))))</f>
        <v>0.25</v>
      </c>
      <c r="U6" s="18" t="n">
        <f aca="false">IF(G6=0,0,IF(Inputs!$D23="Open",G$1,IF(Inputs!$D23="Close",ROUND(G$2*1440-G$3*60,0)/1440,IF(OR(INT((N6-1)/Inputs!$B$7)=0,(INT((N$3-1-MOD(N6-1,Inputs!$B$7))/Inputs!$B$7)+1)&lt;=1),G$1,IF(INT((N6-1)/Inputs!$B$7)&gt;=(INT((N$3-1-MOD(N6-1,Inputs!$B$7))/Inputs!$B$7)+1)-1,ROUND(G$2*1440-G$3*60,0)/1440,MAX(G$1,MIN(ROUND(G$2*1440-G$3*60,0)/1440,ROUND((G$1+INT((N6-1)/Inputs!$B$7)/((INT((N$3-1-MOD(N6-1,Inputs!$B$7))/Inputs!$B$7)+1)-1)*((ROUND(G$2*1440-G$3*60,0)/1440)-G$1))*96,0)/96)))))))</f>
        <v>0.25</v>
      </c>
      <c r="V6" s="18" t="n">
        <f aca="false">IF(H6=0,0,IF(Inputs!$D23="Open",H$1,IF(Inputs!$D23="Close",ROUND(H$2*1440-H$3*60,0)/1440,IF(OR(INT((O6-1)/Inputs!$B$7)=0,(INT((O$3-1-MOD(O6-1,Inputs!$B$7))/Inputs!$B$7)+1)&lt;=1),H$1,IF(INT((O6-1)/Inputs!$B$7)&gt;=(INT((O$3-1-MOD(O6-1,Inputs!$B$7))/Inputs!$B$7)+1)-1,ROUND(H$2*1440-H$3*60,0)/1440,MAX(H$1,MIN(ROUND(H$2*1440-H$3*60,0)/1440,ROUND((H$1+INT((O6-1)/Inputs!$B$7)/((INT((O$3-1-MOD(O6-1,Inputs!$B$7))/Inputs!$B$7)+1)-1)*((ROUND(H$2*1440-H$3*60,0)/1440)-H$1))*96,0)/96)))))))</f>
        <v>0.25</v>
      </c>
      <c r="W6" s="18" t="n">
        <f aca="false">IF(I6=0,0,IF(Inputs!$D23="Open",I$1,IF(Inputs!$D23="Close",ROUND(I$2*1440-I$3*60,0)/1440,IF(OR(INT((P6-1)/Inputs!$B$7)=0,(INT((P$3-1-MOD(P6-1,Inputs!$B$7))/Inputs!$B$7)+1)&lt;=1),I$1,IF(INT((P6-1)/Inputs!$B$7)&gt;=(INT((P$3-1-MOD(P6-1,Inputs!$B$7))/Inputs!$B$7)+1)-1,ROUND(I$2*1440-I$3*60,0)/1440,MAX(I$1,MIN(ROUND(I$2*1440-I$3*60,0)/1440,ROUND((I$1+INT((P6-1)/Inputs!$B$7)/((INT((P$3-1-MOD(P6-1,Inputs!$B$7))/Inputs!$B$7)+1)-1)*((ROUND(I$2*1440-I$3*60,0)/1440)-I$1))*96,0)/96)))))))</f>
        <v>0.25</v>
      </c>
      <c r="X6" s="18" t="n">
        <f aca="false">IF(J6=0,0,IF(Inputs!$D23="Open",J$1,IF(Inputs!$D23="Close",ROUND(J$2*1440-J$3*60,0)/1440,IF(OR(INT((Q6-1)/Inputs!$B$7)=0,(INT((Q$3-1-MOD(Q6-1,Inputs!$B$7))/Inputs!$B$7)+1)&lt;=1),J$1,IF(INT((Q6-1)/Inputs!$B$7)&gt;=(INT((Q$3-1-MOD(Q6-1,Inputs!$B$7))/Inputs!$B$7)+1)-1,ROUND(J$2*1440-J$3*60,0)/1440,MAX(J$1,MIN(ROUND(J$2*1440-J$3*60,0)/1440,ROUND((J$1+INT((Q6-1)/Inputs!$B$7)/((INT((Q$3-1-MOD(Q6-1,Inputs!$B$7))/Inputs!$B$7)+1)-1)*((ROUND(J$2*1440-J$3*60,0)/1440)-J$1))*96,0)/96)))))))</f>
        <v>0.25</v>
      </c>
      <c r="Y6" s="18" t="n">
        <f aca="false">IF(K6=0,0,IF(Inputs!$D23="Open",K$1,IF(Inputs!$D23="Close",ROUND(K$2*1440-K$3*60,0)/1440,IF(OR(INT((R6-1)/Inputs!$B$7)=0,(INT((R$3-1-MOD(R6-1,Inputs!$B$7))/Inputs!$B$7)+1)&lt;=1),K$1,IF(INT((R6-1)/Inputs!$B$7)&gt;=(INT((R$3-1-MOD(R6-1,Inputs!$B$7))/Inputs!$B$7)+1)-1,ROUND(K$2*1440-K$3*60,0)/1440,MAX(K$1,MIN(ROUND(K$2*1440-K$3*60,0)/1440,ROUND((K$1+INT((R6-1)/Inputs!$B$7)/((INT((R$3-1-MOD(R6-1,Inputs!$B$7))/Inputs!$B$7)+1)-1)*((ROUND(K$2*1440-K$3*60,0)/1440)-K$1))*96,0)/96)))))))</f>
        <v>0</v>
      </c>
      <c r="Z6" s="18" t="n">
        <f aca="false">IF(L6=0,0,IF(Inputs!$D23="Open",L$1,IF(Inputs!$D23="Close",ROUND(L$2*1440-L$3*60,0)/1440,IF(OR(INT((S6-1)/Inputs!$B$7)=0,(INT((S$3-1-MOD(S6-1,Inputs!$B$7))/Inputs!$B$7)+1)&lt;=1),L$1,IF(INT((S6-1)/Inputs!$B$7)&gt;=(INT((S$3-1-MOD(S6-1,Inputs!$B$7))/Inputs!$B$7)+1)-1,ROUND(L$2*1440-L$3*60,0)/1440,MAX(L$1,MIN(ROUND(L$2*1440-L$3*60,0)/1440,ROUND((L$1+INT((S6-1)/Inputs!$B$7)/((INT((S$3-1-MOD(S6-1,Inputs!$B$7))/Inputs!$B$7)+1)-1)*((ROUND(L$2*1440-L$3*60,0)/1440)-L$1))*96,0)/96)))))))</f>
        <v>0</v>
      </c>
      <c r="AA6" s="18" t="n">
        <f aca="false">IF(F6=0,0,ROUND(T6*1440+F$3*60,0)/1440)</f>
        <v>0.604166666666667</v>
      </c>
      <c r="AB6" s="18" t="n">
        <f aca="false">IF(G6=0,0,ROUND(U6*1440+G$3*60,0)/1440)</f>
        <v>0.604166666666667</v>
      </c>
      <c r="AC6" s="18" t="n">
        <f aca="false">IF(H6=0,0,ROUND(V6*1440+H$3*60,0)/1440)</f>
        <v>0.604166666666667</v>
      </c>
      <c r="AD6" s="18" t="n">
        <f aca="false">IF(I6=0,0,ROUND(W6*1440+I$3*60,0)/1440)</f>
        <v>0.604166666666667</v>
      </c>
      <c r="AE6" s="18" t="n">
        <f aca="false">IF(J6=0,0,ROUND(X6*1440+J$3*60,0)/1440)</f>
        <v>0.604166666666667</v>
      </c>
      <c r="AF6" s="18" t="n">
        <f aca="false">IF(K6=0,0,ROUND(Y6*1440+K$3*60,0)/1440)</f>
        <v>0</v>
      </c>
      <c r="AG6" s="18" t="n">
        <f aca="false">IF(L6=0,0,ROUND(Z6*1440+L$3*60,0)/1440)</f>
        <v>0</v>
      </c>
      <c r="AH6" s="19" t="n">
        <f aca="false">SUMPRODUCT((MOD(AO$1:AU$1-0,7)&lt;Inputs!$B$6)*AO$2:AU$2*(AO5:AU5+1))*100+MOD(0-5,7)</f>
        <v>402</v>
      </c>
      <c r="AI6" s="19" t="n">
        <f aca="false">SUMPRODUCT((MOD(AO$1:AU$1-1,7)&lt;Inputs!$B$6)*AO$2:AU$2*(AO5:AU5+1))*100+MOD(1-5,7)</f>
        <v>403</v>
      </c>
      <c r="AJ6" s="19" t="n">
        <f aca="false">SUMPRODUCT((MOD(AO$1:AU$1-2,7)&lt;Inputs!$B$6)*AO$2:AU$2*(AO5:AU5+1))*100+MOD(2-5,7)</f>
        <v>404</v>
      </c>
      <c r="AK6" s="19" t="n">
        <f aca="false">SUMPRODUCT((MOD(AO$1:AU$1-3,7)&lt;Inputs!$B$6)*AO$2:AU$2*(AO5:AU5+1))*100+MOD(3-5,7)</f>
        <v>405</v>
      </c>
      <c r="AL6" s="19" t="n">
        <f aca="false">SUMPRODUCT((MOD(AO$1:AU$1-4,7)&lt;Inputs!$B$6)*AO$2:AU$2*(AO5:AU5+1))*100+MOD(4-5,7)</f>
        <v>406</v>
      </c>
      <c r="AM6" s="19" t="n">
        <f aca="false">SUMPRODUCT((MOD(AO$1:AU$1-5,7)&lt;Inputs!$B$6)*AO$2:AU$2*(AO5:AU5+1))*100+MOD(5-5,7)</f>
        <v>400</v>
      </c>
      <c r="AN6" s="19" t="n">
        <f aca="false">SUMPRODUCT((MOD(AO$1:AU$1-6,7)&lt;Inputs!$B$6)*AO$2:AU$2*(AO5:AU5+1))*100+MOD(6-5,7)</f>
        <v>401</v>
      </c>
      <c r="AO6" s="19" t="n">
        <f aca="false">AO5+IF($B6=1,IF(MOD(0-$D6,7)&lt;Inputs!$B$6,1,0),0)</f>
        <v>0</v>
      </c>
      <c r="AP6" s="19" t="n">
        <f aca="false">AP5+IF($B6=1,IF(MOD(1-$D6,7)&lt;Inputs!$B$6,1,0),0)</f>
        <v>0</v>
      </c>
      <c r="AQ6" s="19" t="n">
        <f aca="false">AQ5+IF($B6=1,IF(MOD(2-$D6,7)&lt;Inputs!$B$6,1,0),0)</f>
        <v>0</v>
      </c>
      <c r="AR6" s="19" t="n">
        <f aca="false">AR5+IF($B6=1,IF(MOD(3-$D6,7)&lt;Inputs!$B$6,1,0),0)</f>
        <v>0</v>
      </c>
      <c r="AS6" s="19" t="n">
        <f aca="false">AS5+IF($B6=1,IF(MOD(4-$D6,7)&lt;Inputs!$B$6,1,0),0)</f>
        <v>0</v>
      </c>
      <c r="AT6" s="19" t="n">
        <f aca="false">AT5+IF($B6=1,IF(MOD(5-$D6,7)&lt;Inputs!$B$6,1,0),0)</f>
        <v>1</v>
      </c>
      <c r="AU6" s="19" t="n">
        <f aca="false">AU5+IF($B6=1,IF(MOD(6-$D6,7)&lt;Inputs!$B$6,1,0),0)</f>
        <v>1</v>
      </c>
    </row>
    <row r="7" customFormat="false" ht="15" hidden="false" customHeight="false" outlineLevel="0" collapsed="false">
      <c r="A7" s="0" t="n">
        <v>2</v>
      </c>
      <c r="B7" s="0" t="n">
        <f aca="false">IF(A7&lt;=Inputs!$B$3,1,0)</f>
        <v>1</v>
      </c>
      <c r="C7" s="0" t="n">
        <f aca="false">MOD(5+MOD(A7-1,7),7)</f>
        <v>6</v>
      </c>
      <c r="D7" s="0" t="n">
        <f aca="false">IF(Inputs!C24&lt;&gt;"",MATCH(Inputs!C24,Inputs!$A$11:$A$17,0)-1,IF(B7=0,0,MATCH(MIN(AH7:AN7),AH7:AN7,0)-1))</f>
        <v>0</v>
      </c>
      <c r="F7" s="0" t="n">
        <f aca="false">IF(OR($B7=0,F$3=0),0,IF(MOD(0-$D7,7)&lt;Inputs!$B$6,0,1))</f>
        <v>0</v>
      </c>
      <c r="G7" s="0" t="n">
        <f aca="false">IF(OR($B7=0,G$3=0),0,IF(MOD(1-$D7,7)&lt;Inputs!$B$6,0,1))</f>
        <v>0</v>
      </c>
      <c r="H7" s="0" t="n">
        <f aca="false">IF(OR($B7=0,H$3=0),0,IF(MOD(2-$D7,7)&lt;Inputs!$B$6,0,1))</f>
        <v>1</v>
      </c>
      <c r="I7" s="0" t="n">
        <f aca="false">IF(OR($B7=0,I$3=0),0,IF(MOD(3-$D7,7)&lt;Inputs!$B$6,0,1))</f>
        <v>1</v>
      </c>
      <c r="J7" s="0" t="n">
        <f aca="false">IF(OR($B7=0,J$3=0),0,IF(MOD(4-$D7,7)&lt;Inputs!$B$6,0,1))</f>
        <v>1</v>
      </c>
      <c r="K7" s="0" t="n">
        <f aca="false">IF(OR($B7=0,K$3=0),0,IF(MOD(5-$D7,7)&lt;Inputs!$B$6,0,1))</f>
        <v>1</v>
      </c>
      <c r="L7" s="0" t="n">
        <f aca="false">IF(OR($B7=0,L$3=0),0,IF(MOD(6-$D7,7)&lt;Inputs!$B$6,0,1))</f>
        <v>1</v>
      </c>
      <c r="M7" s="0" t="n">
        <f aca="false">SUM(F$6:F7)</f>
        <v>1</v>
      </c>
      <c r="N7" s="0" t="n">
        <f aca="false">SUM(G$6:G7)</f>
        <v>1</v>
      </c>
      <c r="O7" s="0" t="n">
        <f aca="false">SUM(H$6:H7)</f>
        <v>2</v>
      </c>
      <c r="P7" s="0" t="n">
        <f aca="false">SUM(I$6:I7)</f>
        <v>2</v>
      </c>
      <c r="Q7" s="0" t="n">
        <f aca="false">SUM(J$6:J7)</f>
        <v>2</v>
      </c>
      <c r="R7" s="0" t="n">
        <f aca="false">SUM(K$6:K7)</f>
        <v>1</v>
      </c>
      <c r="S7" s="0" t="n">
        <f aca="false">SUM(L$6:L7)</f>
        <v>1</v>
      </c>
      <c r="T7" s="18" t="n">
        <f aca="false">IF(F7=0,0,IF(Inputs!$D24="Open",F$1,IF(Inputs!$D24="Close",ROUND(F$2*1440-F$3*60,0)/1440,IF(OR(INT((M7-1)/Inputs!$B$7)=0,(INT((M$3-1-MOD(M7-1,Inputs!$B$7))/Inputs!$B$7)+1)&lt;=1),F$1,IF(INT((M7-1)/Inputs!$B$7)&gt;=(INT((M$3-1-MOD(M7-1,Inputs!$B$7))/Inputs!$B$7)+1)-1,ROUND(F$2*1440-F$3*60,0)/1440,MAX(F$1,MIN(ROUND(F$2*1440-F$3*60,0)/1440,ROUND((F$1+INT((M7-1)/Inputs!$B$7)/((INT((M$3-1-MOD(M7-1,Inputs!$B$7))/Inputs!$B$7)+1)-1)*((ROUND(F$2*1440-F$3*60,0)/1440)-F$1))*96,0)/96)))))))</f>
        <v>0</v>
      </c>
      <c r="U7" s="18" t="n">
        <f aca="false">IF(G7=0,0,IF(Inputs!$D24="Open",G$1,IF(Inputs!$D24="Close",ROUND(G$2*1440-G$3*60,0)/1440,IF(OR(INT((N7-1)/Inputs!$B$7)=0,(INT((N$3-1-MOD(N7-1,Inputs!$B$7))/Inputs!$B$7)+1)&lt;=1),G$1,IF(INT((N7-1)/Inputs!$B$7)&gt;=(INT((N$3-1-MOD(N7-1,Inputs!$B$7))/Inputs!$B$7)+1)-1,ROUND(G$2*1440-G$3*60,0)/1440,MAX(G$1,MIN(ROUND(G$2*1440-G$3*60,0)/1440,ROUND((G$1+INT((N7-1)/Inputs!$B$7)/((INT((N$3-1-MOD(N7-1,Inputs!$B$7))/Inputs!$B$7)+1)-1)*((ROUND(G$2*1440-G$3*60,0)/1440)-G$1))*96,0)/96)))))))</f>
        <v>0</v>
      </c>
      <c r="V7" s="18" t="n">
        <f aca="false">IF(H7=0,0,IF(Inputs!$D24="Open",H$1,IF(Inputs!$D24="Close",ROUND(H$2*1440-H$3*60,0)/1440,IF(OR(INT((O7-1)/Inputs!$B$7)=0,(INT((O$3-1-MOD(O7-1,Inputs!$B$7))/Inputs!$B$7)+1)&lt;=1),H$1,IF(INT((O7-1)/Inputs!$B$7)&gt;=(INT((O$3-1-MOD(O7-1,Inputs!$B$7))/Inputs!$B$7)+1)-1,ROUND(H$2*1440-H$3*60,0)/1440,MAX(H$1,MIN(ROUND(H$2*1440-H$3*60,0)/1440,ROUND((H$1+INT((O7-1)/Inputs!$B$7)/((INT((O$3-1-MOD(O7-1,Inputs!$B$7))/Inputs!$B$7)+1)-1)*((ROUND(H$2*1440-H$3*60,0)/1440)-H$1))*96,0)/96)))))))</f>
        <v>0.270833333333333</v>
      </c>
      <c r="W7" s="18" t="n">
        <f aca="false">IF(I7=0,0,IF(Inputs!$D24="Open",I$1,IF(Inputs!$D24="Close",ROUND(I$2*1440-I$3*60,0)/1440,IF(OR(INT((P7-1)/Inputs!$B$7)=0,(INT((P$3-1-MOD(P7-1,Inputs!$B$7))/Inputs!$B$7)+1)&lt;=1),I$1,IF(INT((P7-1)/Inputs!$B$7)&gt;=(INT((P$3-1-MOD(P7-1,Inputs!$B$7))/Inputs!$B$7)+1)-1,ROUND(I$2*1440-I$3*60,0)/1440,MAX(I$1,MIN(ROUND(I$2*1440-I$3*60,0)/1440,ROUND((I$1+INT((P7-1)/Inputs!$B$7)/((INT((P$3-1-MOD(P7-1,Inputs!$B$7))/Inputs!$B$7)+1)-1)*((ROUND(I$2*1440-I$3*60,0)/1440)-I$1))*96,0)/96)))))))</f>
        <v>0.28125</v>
      </c>
      <c r="X7" s="18" t="n">
        <f aca="false">IF(J7=0,0,IF(Inputs!$D24="Open",J$1,IF(Inputs!$D24="Close",ROUND(J$2*1440-J$3*60,0)/1440,IF(OR(INT((Q7-1)/Inputs!$B$7)=0,(INT((Q$3-1-MOD(Q7-1,Inputs!$B$7))/Inputs!$B$7)+1)&lt;=1),J$1,IF(INT((Q7-1)/Inputs!$B$7)&gt;=(INT((Q$3-1-MOD(Q7-1,Inputs!$B$7))/Inputs!$B$7)+1)-1,ROUND(J$2*1440-J$3*60,0)/1440,MAX(J$1,MIN(ROUND(J$2*1440-J$3*60,0)/1440,ROUND((J$1+INT((Q7-1)/Inputs!$B$7)/((INT((Q$3-1-MOD(Q7-1,Inputs!$B$7))/Inputs!$B$7)+1)-1)*((ROUND(J$2*1440-J$3*60,0)/1440)-J$1))*96,0)/96)))))))</f>
        <v>0.270833333333333</v>
      </c>
      <c r="Y7" s="18" t="n">
        <f aca="false">IF(K7=0,0,IF(Inputs!$D24="Open",K$1,IF(Inputs!$D24="Close",ROUND(K$2*1440-K$3*60,0)/1440,IF(OR(INT((R7-1)/Inputs!$B$7)=0,(INT((R$3-1-MOD(R7-1,Inputs!$B$7))/Inputs!$B$7)+1)&lt;=1),K$1,IF(INT((R7-1)/Inputs!$B$7)&gt;=(INT((R$3-1-MOD(R7-1,Inputs!$B$7))/Inputs!$B$7)+1)-1,ROUND(K$2*1440-K$3*60,0)/1440,MAX(K$1,MIN(ROUND(K$2*1440-K$3*60,0)/1440,ROUND((K$1+INT((R7-1)/Inputs!$B$7)/((INT((R$3-1-MOD(R7-1,Inputs!$B$7))/Inputs!$B$7)+1)-1)*((ROUND(K$2*1440-K$3*60,0)/1440)-K$1))*96,0)/96)))))))</f>
        <v>0.25</v>
      </c>
      <c r="Z7" s="18" t="n">
        <f aca="false">IF(L7=0,0,IF(Inputs!$D24="Open",L$1,IF(Inputs!$D24="Close",ROUND(L$2*1440-L$3*60,0)/1440,IF(OR(INT((S7-1)/Inputs!$B$7)=0,(INT((S$3-1-MOD(S7-1,Inputs!$B$7))/Inputs!$B$7)+1)&lt;=1),L$1,IF(INT((S7-1)/Inputs!$B$7)&gt;=(INT((S$3-1-MOD(S7-1,Inputs!$B$7))/Inputs!$B$7)+1)-1,ROUND(L$2*1440-L$3*60,0)/1440,MAX(L$1,MIN(ROUND(L$2*1440-L$3*60,0)/1440,ROUND((L$1+INT((S7-1)/Inputs!$B$7)/((INT((S$3-1-MOD(S7-1,Inputs!$B$7))/Inputs!$B$7)+1)-1)*((ROUND(L$2*1440-L$3*60,0)/1440)-L$1))*96,0)/96)))))))</f>
        <v>0.25</v>
      </c>
      <c r="AA7" s="18" t="n">
        <f aca="false">IF(F7=0,0,ROUND(T7*1440+F$3*60,0)/1440)</f>
        <v>0</v>
      </c>
      <c r="AB7" s="18" t="n">
        <f aca="false">IF(G7=0,0,ROUND(U7*1440+G$3*60,0)/1440)</f>
        <v>0</v>
      </c>
      <c r="AC7" s="18" t="n">
        <f aca="false">IF(H7=0,0,ROUND(V7*1440+H$3*60,0)/1440)</f>
        <v>0.625</v>
      </c>
      <c r="AD7" s="18" t="n">
        <f aca="false">IF(I7=0,0,ROUND(W7*1440+I$3*60,0)/1440)</f>
        <v>0.635416666666667</v>
      </c>
      <c r="AE7" s="18" t="n">
        <f aca="false">IF(J7=0,0,ROUND(X7*1440+J$3*60,0)/1440)</f>
        <v>0.625</v>
      </c>
      <c r="AF7" s="18" t="n">
        <f aca="false">IF(K7=0,0,ROUND(Y7*1440+K$3*60,0)/1440)</f>
        <v>0.604166666666667</v>
      </c>
      <c r="AG7" s="18" t="n">
        <f aca="false">IF(L7=0,0,ROUND(Z7*1440+L$3*60,0)/1440)</f>
        <v>0.604166666666667</v>
      </c>
      <c r="AH7" s="19" t="n">
        <f aca="false">SUMPRODUCT((MOD(AO$1:AU$1-0,7)&lt;Inputs!$B$6)*AO$2:AU$2*(AO6:AU6+1))*100+MOD(0-5,7)</f>
        <v>402</v>
      </c>
      <c r="AI7" s="19" t="n">
        <f aca="false">SUMPRODUCT((MOD(AO$1:AU$1-1,7)&lt;Inputs!$B$6)*AO$2:AU$2*(AO6:AU6+1))*100+MOD(1-5,7)</f>
        <v>403</v>
      </c>
      <c r="AJ7" s="19" t="n">
        <f aca="false">SUMPRODUCT((MOD(AO$1:AU$1-2,7)&lt;Inputs!$B$6)*AO$2:AU$2*(AO6:AU6+1))*100+MOD(2-5,7)</f>
        <v>404</v>
      </c>
      <c r="AK7" s="19" t="n">
        <f aca="false">SUMPRODUCT((MOD(AO$1:AU$1-3,7)&lt;Inputs!$B$6)*AO$2:AU$2*(AO6:AU6+1))*100+MOD(3-5,7)</f>
        <v>405</v>
      </c>
      <c r="AL7" s="19" t="n">
        <f aca="false">SUMPRODUCT((MOD(AO$1:AU$1-4,7)&lt;Inputs!$B$6)*AO$2:AU$2*(AO6:AU6+1))*100+MOD(4-5,7)</f>
        <v>606</v>
      </c>
      <c r="AM7" s="19" t="n">
        <f aca="false">SUMPRODUCT((MOD(AO$1:AU$1-5,7)&lt;Inputs!$B$6)*AO$2:AU$2*(AO6:AU6+1))*100+MOD(5-5,7)</f>
        <v>800</v>
      </c>
      <c r="AN7" s="19" t="n">
        <f aca="false">SUMPRODUCT((MOD(AO$1:AU$1-6,7)&lt;Inputs!$B$6)*AO$2:AU$2*(AO6:AU6+1))*100+MOD(6-5,7)</f>
        <v>601</v>
      </c>
      <c r="AO7" s="19" t="n">
        <f aca="false">AO6+IF($B7=1,IF(MOD(0-$D7,7)&lt;Inputs!$B$6,1,0),0)</f>
        <v>1</v>
      </c>
      <c r="AP7" s="19" t="n">
        <f aca="false">AP6+IF($B7=1,IF(MOD(1-$D7,7)&lt;Inputs!$B$6,1,0),0)</f>
        <v>1</v>
      </c>
      <c r="AQ7" s="19" t="n">
        <f aca="false">AQ6+IF($B7=1,IF(MOD(2-$D7,7)&lt;Inputs!$B$6,1,0),0)</f>
        <v>0</v>
      </c>
      <c r="AR7" s="19" t="n">
        <f aca="false">AR6+IF($B7=1,IF(MOD(3-$D7,7)&lt;Inputs!$B$6,1,0),0)</f>
        <v>0</v>
      </c>
      <c r="AS7" s="19" t="n">
        <f aca="false">AS6+IF($B7=1,IF(MOD(4-$D7,7)&lt;Inputs!$B$6,1,0),0)</f>
        <v>0</v>
      </c>
      <c r="AT7" s="19" t="n">
        <f aca="false">AT6+IF($B7=1,IF(MOD(5-$D7,7)&lt;Inputs!$B$6,1,0),0)</f>
        <v>1</v>
      </c>
      <c r="AU7" s="19" t="n">
        <f aca="false">AU6+IF($B7=1,IF(MOD(6-$D7,7)&lt;Inputs!$B$6,1,0),0)</f>
        <v>1</v>
      </c>
    </row>
    <row r="8" customFormat="false" ht="15" hidden="false" customHeight="false" outlineLevel="0" collapsed="false">
      <c r="A8" s="0" t="n">
        <v>3</v>
      </c>
      <c r="B8" s="0" t="n">
        <f aca="false">IF(A8&lt;=Inputs!$B$3,1,0)</f>
        <v>1</v>
      </c>
      <c r="C8" s="0" t="n">
        <f aca="false">MOD(5+MOD(A8-1,7),7)</f>
        <v>0</v>
      </c>
      <c r="D8" s="0" t="n">
        <f aca="false">IF(Inputs!C25&lt;&gt;"",MATCH(Inputs!C25,Inputs!$A$11:$A$17,0)-1,IF(B8=0,0,MATCH(MIN(AH8:AN8),AH8:AN8,0)-1))</f>
        <v>2</v>
      </c>
      <c r="F8" s="0" t="n">
        <f aca="false">IF(OR($B8=0,F$3=0),0,IF(MOD(0-$D8,7)&lt;Inputs!$B$6,0,1))</f>
        <v>1</v>
      </c>
      <c r="G8" s="0" t="n">
        <f aca="false">IF(OR($B8=0,G$3=0),0,IF(MOD(1-$D8,7)&lt;Inputs!$B$6,0,1))</f>
        <v>1</v>
      </c>
      <c r="H8" s="0" t="n">
        <f aca="false">IF(OR($B8=0,H$3=0),0,IF(MOD(2-$D8,7)&lt;Inputs!$B$6,0,1))</f>
        <v>0</v>
      </c>
      <c r="I8" s="0" t="n">
        <f aca="false">IF(OR($B8=0,I$3=0),0,IF(MOD(3-$D8,7)&lt;Inputs!$B$6,0,1))</f>
        <v>0</v>
      </c>
      <c r="J8" s="0" t="n">
        <f aca="false">IF(OR($B8=0,J$3=0),0,IF(MOD(4-$D8,7)&lt;Inputs!$B$6,0,1))</f>
        <v>1</v>
      </c>
      <c r="K8" s="0" t="n">
        <f aca="false">IF(OR($B8=0,K$3=0),0,IF(MOD(5-$D8,7)&lt;Inputs!$B$6,0,1))</f>
        <v>1</v>
      </c>
      <c r="L8" s="0" t="n">
        <f aca="false">IF(OR($B8=0,L$3=0),0,IF(MOD(6-$D8,7)&lt;Inputs!$B$6,0,1))</f>
        <v>1</v>
      </c>
      <c r="M8" s="0" t="n">
        <f aca="false">SUM(F$6:F8)</f>
        <v>2</v>
      </c>
      <c r="N8" s="0" t="n">
        <f aca="false">SUM(G$6:G8)</f>
        <v>2</v>
      </c>
      <c r="O8" s="0" t="n">
        <f aca="false">SUM(H$6:H8)</f>
        <v>2</v>
      </c>
      <c r="P8" s="0" t="n">
        <f aca="false">SUM(I$6:I8)</f>
        <v>2</v>
      </c>
      <c r="Q8" s="0" t="n">
        <f aca="false">SUM(J$6:J8)</f>
        <v>3</v>
      </c>
      <c r="R8" s="0" t="n">
        <f aca="false">SUM(K$6:K8)</f>
        <v>2</v>
      </c>
      <c r="S8" s="0" t="n">
        <f aca="false">SUM(L$6:L8)</f>
        <v>2</v>
      </c>
      <c r="T8" s="18" t="n">
        <f aca="false">IF(F8=0,0,IF(Inputs!$D25="Open",F$1,IF(Inputs!$D25="Close",ROUND(F$2*1440-F$3*60,0)/1440,IF(OR(INT((M8-1)/Inputs!$B$7)=0,(INT((M$3-1-MOD(M8-1,Inputs!$B$7))/Inputs!$B$7)+1)&lt;=1),F$1,IF(INT((M8-1)/Inputs!$B$7)&gt;=(INT((M$3-1-MOD(M8-1,Inputs!$B$7))/Inputs!$B$7)+1)-1,ROUND(F$2*1440-F$3*60,0)/1440,MAX(F$1,MIN(ROUND(F$2*1440-F$3*60,0)/1440,ROUND((F$1+INT((M8-1)/Inputs!$B$7)/((INT((M$3-1-MOD(M8-1,Inputs!$B$7))/Inputs!$B$7)+1)-1)*((ROUND(F$2*1440-F$3*60,0)/1440)-F$1))*96,0)/96)))))))</f>
        <v>0.28125</v>
      </c>
      <c r="U8" s="18" t="n">
        <f aca="false">IF(G8=0,0,IF(Inputs!$D25="Open",G$1,IF(Inputs!$D25="Close",ROUND(G$2*1440-G$3*60,0)/1440,IF(OR(INT((N8-1)/Inputs!$B$7)=0,(INT((N$3-1-MOD(N8-1,Inputs!$B$7))/Inputs!$B$7)+1)&lt;=1),G$1,IF(INT((N8-1)/Inputs!$B$7)&gt;=(INT((N$3-1-MOD(N8-1,Inputs!$B$7))/Inputs!$B$7)+1)-1,ROUND(G$2*1440-G$3*60,0)/1440,MAX(G$1,MIN(ROUND(G$2*1440-G$3*60,0)/1440,ROUND((G$1+INT((N8-1)/Inputs!$B$7)/((INT((N$3-1-MOD(N8-1,Inputs!$B$7))/Inputs!$B$7)+1)-1)*((ROUND(G$2*1440-G$3*60,0)/1440)-G$1))*96,0)/96)))))))</f>
        <v>0.28125</v>
      </c>
      <c r="V8" s="18" t="n">
        <f aca="false">IF(H8=0,0,IF(Inputs!$D25="Open",H$1,IF(Inputs!$D25="Close",ROUND(H$2*1440-H$3*60,0)/1440,IF(OR(INT((O8-1)/Inputs!$B$7)=0,(INT((O$3-1-MOD(O8-1,Inputs!$B$7))/Inputs!$B$7)+1)&lt;=1),H$1,IF(INT((O8-1)/Inputs!$B$7)&gt;=(INT((O$3-1-MOD(O8-1,Inputs!$B$7))/Inputs!$B$7)+1)-1,ROUND(H$2*1440-H$3*60,0)/1440,MAX(H$1,MIN(ROUND(H$2*1440-H$3*60,0)/1440,ROUND((H$1+INT((O8-1)/Inputs!$B$7)/((INT((O$3-1-MOD(O8-1,Inputs!$B$7))/Inputs!$B$7)+1)-1)*((ROUND(H$2*1440-H$3*60,0)/1440)-H$1))*96,0)/96)))))))</f>
        <v>0</v>
      </c>
      <c r="W8" s="18" t="n">
        <f aca="false">IF(I8=0,0,IF(Inputs!$D25="Open",I$1,IF(Inputs!$D25="Close",ROUND(I$2*1440-I$3*60,0)/1440,IF(OR(INT((P8-1)/Inputs!$B$7)=0,(INT((P$3-1-MOD(P8-1,Inputs!$B$7))/Inputs!$B$7)+1)&lt;=1),I$1,IF(INT((P8-1)/Inputs!$B$7)&gt;=(INT((P$3-1-MOD(P8-1,Inputs!$B$7))/Inputs!$B$7)+1)-1,ROUND(I$2*1440-I$3*60,0)/1440,MAX(I$1,MIN(ROUND(I$2*1440-I$3*60,0)/1440,ROUND((I$1+INT((P8-1)/Inputs!$B$7)/((INT((P$3-1-MOD(P8-1,Inputs!$B$7))/Inputs!$B$7)+1)-1)*((ROUND(I$2*1440-I$3*60,0)/1440)-I$1))*96,0)/96)))))))</f>
        <v>0</v>
      </c>
      <c r="X8" s="18" t="n">
        <f aca="false">IF(J8=0,0,IF(Inputs!$D25="Open",J$1,IF(Inputs!$D25="Close",ROUND(J$2*1440-J$3*60,0)/1440,IF(OR(INT((Q8-1)/Inputs!$B$7)=0,(INT((Q$3-1-MOD(Q8-1,Inputs!$B$7))/Inputs!$B$7)+1)&lt;=1),J$1,IF(INT((Q8-1)/Inputs!$B$7)&gt;=(INT((Q$3-1-MOD(Q8-1,Inputs!$B$7))/Inputs!$B$7)+1)-1,ROUND(J$2*1440-J$3*60,0)/1440,MAX(J$1,MIN(ROUND(J$2*1440-J$3*60,0)/1440,ROUND((J$1+INT((Q8-1)/Inputs!$B$7)/((INT((Q$3-1-MOD(Q8-1,Inputs!$B$7))/Inputs!$B$7)+1)-1)*((ROUND(J$2*1440-J$3*60,0)/1440)-J$1))*96,0)/96)))))))</f>
        <v>0.302083333333333</v>
      </c>
      <c r="Y8" s="18" t="n">
        <f aca="false">IF(K8=0,0,IF(Inputs!$D25="Open",K$1,IF(Inputs!$D25="Close",ROUND(K$2*1440-K$3*60,0)/1440,IF(OR(INT((R8-1)/Inputs!$B$7)=0,(INT((R$3-1-MOD(R8-1,Inputs!$B$7))/Inputs!$B$7)+1)&lt;=1),K$1,IF(INT((R8-1)/Inputs!$B$7)&gt;=(INT((R$3-1-MOD(R8-1,Inputs!$B$7))/Inputs!$B$7)+1)-1,ROUND(K$2*1440-K$3*60,0)/1440,MAX(K$1,MIN(ROUND(K$2*1440-K$3*60,0)/1440,ROUND((K$1+INT((R8-1)/Inputs!$B$7)/((INT((R$3-1-MOD(R8-1,Inputs!$B$7))/Inputs!$B$7)+1)-1)*((ROUND(K$2*1440-K$3*60,0)/1440)-K$1))*96,0)/96)))))))</f>
        <v>0.28125</v>
      </c>
      <c r="Z8" s="18" t="n">
        <f aca="false">IF(L8=0,0,IF(Inputs!$D25="Open",L$1,IF(Inputs!$D25="Close",ROUND(L$2*1440-L$3*60,0)/1440,IF(OR(INT((S8-1)/Inputs!$B$7)=0,(INT((S$3-1-MOD(S8-1,Inputs!$B$7))/Inputs!$B$7)+1)&lt;=1),L$1,IF(INT((S8-1)/Inputs!$B$7)&gt;=(INT((S$3-1-MOD(S8-1,Inputs!$B$7))/Inputs!$B$7)+1)-1,ROUND(L$2*1440-L$3*60,0)/1440,MAX(L$1,MIN(ROUND(L$2*1440-L$3*60,0)/1440,ROUND((L$1+INT((S8-1)/Inputs!$B$7)/((INT((S$3-1-MOD(S8-1,Inputs!$B$7))/Inputs!$B$7)+1)-1)*((ROUND(L$2*1440-L$3*60,0)/1440)-L$1))*96,0)/96)))))))</f>
        <v>0.28125</v>
      </c>
      <c r="AA8" s="18" t="n">
        <f aca="false">IF(F8=0,0,ROUND(T8*1440+F$3*60,0)/1440)</f>
        <v>0.635416666666667</v>
      </c>
      <c r="AB8" s="18" t="n">
        <f aca="false">IF(G8=0,0,ROUND(U8*1440+G$3*60,0)/1440)</f>
        <v>0.635416666666667</v>
      </c>
      <c r="AC8" s="18" t="n">
        <f aca="false">IF(H8=0,0,ROUND(V8*1440+H$3*60,0)/1440)</f>
        <v>0</v>
      </c>
      <c r="AD8" s="18" t="n">
        <f aca="false">IF(I8=0,0,ROUND(W8*1440+I$3*60,0)/1440)</f>
        <v>0</v>
      </c>
      <c r="AE8" s="18" t="n">
        <f aca="false">IF(J8=0,0,ROUND(X8*1440+J$3*60,0)/1440)</f>
        <v>0.65625</v>
      </c>
      <c r="AF8" s="18" t="n">
        <f aca="false">IF(K8=0,0,ROUND(Y8*1440+K$3*60,0)/1440)</f>
        <v>0.635416666666667</v>
      </c>
      <c r="AG8" s="18" t="n">
        <f aca="false">IF(L8=0,0,ROUND(Z8*1440+L$3*60,0)/1440)</f>
        <v>0.635416666666667</v>
      </c>
      <c r="AH8" s="19" t="n">
        <f aca="false">SUMPRODUCT((MOD(AO$1:AU$1-0,7)&lt;Inputs!$B$6)*AO$2:AU$2*(AO7:AU7+1))*100+MOD(0-5,7)</f>
        <v>802</v>
      </c>
      <c r="AI8" s="19" t="n">
        <f aca="false">SUMPRODUCT((MOD(AO$1:AU$1-1,7)&lt;Inputs!$B$6)*AO$2:AU$2*(AO7:AU7+1))*100+MOD(1-5,7)</f>
        <v>603</v>
      </c>
      <c r="AJ8" s="19" t="n">
        <f aca="false">SUMPRODUCT((MOD(AO$1:AU$1-2,7)&lt;Inputs!$B$6)*AO$2:AU$2*(AO7:AU7+1))*100+MOD(2-5,7)</f>
        <v>404</v>
      </c>
      <c r="AK8" s="19" t="n">
        <f aca="false">SUMPRODUCT((MOD(AO$1:AU$1-3,7)&lt;Inputs!$B$6)*AO$2:AU$2*(AO7:AU7+1))*100+MOD(3-5,7)</f>
        <v>405</v>
      </c>
      <c r="AL8" s="19" t="n">
        <f aca="false">SUMPRODUCT((MOD(AO$1:AU$1-4,7)&lt;Inputs!$B$6)*AO$2:AU$2*(AO7:AU7+1))*100+MOD(4-5,7)</f>
        <v>606</v>
      </c>
      <c r="AM8" s="19" t="n">
        <f aca="false">SUMPRODUCT((MOD(AO$1:AU$1-5,7)&lt;Inputs!$B$6)*AO$2:AU$2*(AO7:AU7+1))*100+MOD(5-5,7)</f>
        <v>800</v>
      </c>
      <c r="AN8" s="19" t="n">
        <f aca="false">SUMPRODUCT((MOD(AO$1:AU$1-6,7)&lt;Inputs!$B$6)*AO$2:AU$2*(AO7:AU7+1))*100+MOD(6-5,7)</f>
        <v>801</v>
      </c>
      <c r="AO8" s="19" t="n">
        <f aca="false">AO7+IF($B8=1,IF(MOD(0-$D8,7)&lt;Inputs!$B$6,1,0),0)</f>
        <v>1</v>
      </c>
      <c r="AP8" s="19" t="n">
        <f aca="false">AP7+IF($B8=1,IF(MOD(1-$D8,7)&lt;Inputs!$B$6,1,0),0)</f>
        <v>1</v>
      </c>
      <c r="AQ8" s="19" t="n">
        <f aca="false">AQ7+IF($B8=1,IF(MOD(2-$D8,7)&lt;Inputs!$B$6,1,0),0)</f>
        <v>1</v>
      </c>
      <c r="AR8" s="19" t="n">
        <f aca="false">AR7+IF($B8=1,IF(MOD(3-$D8,7)&lt;Inputs!$B$6,1,0),0)</f>
        <v>1</v>
      </c>
      <c r="AS8" s="19" t="n">
        <f aca="false">AS7+IF($B8=1,IF(MOD(4-$D8,7)&lt;Inputs!$B$6,1,0),0)</f>
        <v>0</v>
      </c>
      <c r="AT8" s="19" t="n">
        <f aca="false">AT7+IF($B8=1,IF(MOD(5-$D8,7)&lt;Inputs!$B$6,1,0),0)</f>
        <v>1</v>
      </c>
      <c r="AU8" s="19" t="n">
        <f aca="false">AU7+IF($B8=1,IF(MOD(6-$D8,7)&lt;Inputs!$B$6,1,0),0)</f>
        <v>1</v>
      </c>
    </row>
    <row r="9" customFormat="false" ht="15" hidden="false" customHeight="false" outlineLevel="0" collapsed="false">
      <c r="A9" s="0" t="n">
        <v>4</v>
      </c>
      <c r="B9" s="0" t="n">
        <f aca="false">IF(A9&lt;=Inputs!$B$3,1,0)</f>
        <v>1</v>
      </c>
      <c r="C9" s="0" t="n">
        <f aca="false">MOD(5+MOD(A9-1,7),7)</f>
        <v>1</v>
      </c>
      <c r="D9" s="0" t="n">
        <f aca="false">IF(Inputs!C26&lt;&gt;"",MATCH(Inputs!C26,Inputs!$A$11:$A$17,0)-1,IF(B9=0,0,MATCH(MIN(AH9:AN9),AH9:AN9,0)-1))</f>
        <v>3</v>
      </c>
      <c r="F9" s="0" t="n">
        <f aca="false">IF(OR($B9=0,F$3=0),0,IF(MOD(0-$D9,7)&lt;Inputs!$B$6,0,1))</f>
        <v>1</v>
      </c>
      <c r="G9" s="0" t="n">
        <f aca="false">IF(OR($B9=0,G$3=0),0,IF(MOD(1-$D9,7)&lt;Inputs!$B$6,0,1))</f>
        <v>1</v>
      </c>
      <c r="H9" s="0" t="n">
        <f aca="false">IF(OR($B9=0,H$3=0),0,IF(MOD(2-$D9,7)&lt;Inputs!$B$6,0,1))</f>
        <v>1</v>
      </c>
      <c r="I9" s="0" t="n">
        <f aca="false">IF(OR($B9=0,I$3=0),0,IF(MOD(3-$D9,7)&lt;Inputs!$B$6,0,1))</f>
        <v>0</v>
      </c>
      <c r="J9" s="0" t="n">
        <f aca="false">IF(OR($B9=0,J$3=0),0,IF(MOD(4-$D9,7)&lt;Inputs!$B$6,0,1))</f>
        <v>0</v>
      </c>
      <c r="K9" s="0" t="n">
        <f aca="false">IF(OR($B9=0,K$3=0),0,IF(MOD(5-$D9,7)&lt;Inputs!$B$6,0,1))</f>
        <v>1</v>
      </c>
      <c r="L9" s="0" t="n">
        <f aca="false">IF(OR($B9=0,L$3=0),0,IF(MOD(6-$D9,7)&lt;Inputs!$B$6,0,1))</f>
        <v>1</v>
      </c>
      <c r="M9" s="0" t="n">
        <f aca="false">SUM(F$6:F9)</f>
        <v>3</v>
      </c>
      <c r="N9" s="0" t="n">
        <f aca="false">SUM(G$6:G9)</f>
        <v>3</v>
      </c>
      <c r="O9" s="0" t="n">
        <f aca="false">SUM(H$6:H9)</f>
        <v>3</v>
      </c>
      <c r="P9" s="0" t="n">
        <f aca="false">SUM(I$6:I9)</f>
        <v>2</v>
      </c>
      <c r="Q9" s="0" t="n">
        <f aca="false">SUM(J$6:J9)</f>
        <v>3</v>
      </c>
      <c r="R9" s="0" t="n">
        <f aca="false">SUM(K$6:K9)</f>
        <v>3</v>
      </c>
      <c r="S9" s="0" t="n">
        <f aca="false">SUM(L$6:L9)</f>
        <v>3</v>
      </c>
      <c r="T9" s="18" t="n">
        <f aca="false">IF(F9=0,0,IF(Inputs!$D26="Open",F$1,IF(Inputs!$D26="Close",ROUND(F$2*1440-F$3*60,0)/1440,IF(OR(INT((M9-1)/Inputs!$B$7)=0,(INT((M$3-1-MOD(M9-1,Inputs!$B$7))/Inputs!$B$7)+1)&lt;=1),F$1,IF(INT((M9-1)/Inputs!$B$7)&gt;=(INT((M$3-1-MOD(M9-1,Inputs!$B$7))/Inputs!$B$7)+1)-1,ROUND(F$2*1440-F$3*60,0)/1440,MAX(F$1,MIN(ROUND(F$2*1440-F$3*60,0)/1440,ROUND((F$1+INT((M9-1)/Inputs!$B$7)/((INT((M$3-1-MOD(M9-1,Inputs!$B$7))/Inputs!$B$7)+1)-1)*((ROUND(F$2*1440-F$3*60,0)/1440)-F$1))*96,0)/96)))))))</f>
        <v>0.302083333333333</v>
      </c>
      <c r="U9" s="18" t="n">
        <f aca="false">IF(G9=0,0,IF(Inputs!$D26="Open",G$1,IF(Inputs!$D26="Close",ROUND(G$2*1440-G$3*60,0)/1440,IF(OR(INT((N9-1)/Inputs!$B$7)=0,(INT((N$3-1-MOD(N9-1,Inputs!$B$7))/Inputs!$B$7)+1)&lt;=1),G$1,IF(INT((N9-1)/Inputs!$B$7)&gt;=(INT((N$3-1-MOD(N9-1,Inputs!$B$7))/Inputs!$B$7)+1)-1,ROUND(G$2*1440-G$3*60,0)/1440,MAX(G$1,MIN(ROUND(G$2*1440-G$3*60,0)/1440,ROUND((G$1+INT((N9-1)/Inputs!$B$7)/((INT((N$3-1-MOD(N9-1,Inputs!$B$7))/Inputs!$B$7)+1)-1)*((ROUND(G$2*1440-G$3*60,0)/1440)-G$1))*96,0)/96)))))))</f>
        <v>0.302083333333333</v>
      </c>
      <c r="V9" s="18" t="n">
        <f aca="false">IF(H9=0,0,IF(Inputs!$D26="Open",H$1,IF(Inputs!$D26="Close",ROUND(H$2*1440-H$3*60,0)/1440,IF(OR(INT((O9-1)/Inputs!$B$7)=0,(INT((O$3-1-MOD(O9-1,Inputs!$B$7))/Inputs!$B$7)+1)&lt;=1),H$1,IF(INT((O9-1)/Inputs!$B$7)&gt;=(INT((O$3-1-MOD(O9-1,Inputs!$B$7))/Inputs!$B$7)+1)-1,ROUND(H$2*1440-H$3*60,0)/1440,MAX(H$1,MIN(ROUND(H$2*1440-H$3*60,0)/1440,ROUND((H$1+INT((O9-1)/Inputs!$B$7)/((INT((O$3-1-MOD(O9-1,Inputs!$B$7))/Inputs!$B$7)+1)-1)*((ROUND(H$2*1440-H$3*60,0)/1440)-H$1))*96,0)/96)))))))</f>
        <v>0.302083333333333</v>
      </c>
      <c r="W9" s="18" t="n">
        <f aca="false">IF(I9=0,0,IF(Inputs!$D26="Open",I$1,IF(Inputs!$D26="Close",ROUND(I$2*1440-I$3*60,0)/1440,IF(OR(INT((P9-1)/Inputs!$B$7)=0,(INT((P$3-1-MOD(P9-1,Inputs!$B$7))/Inputs!$B$7)+1)&lt;=1),I$1,IF(INT((P9-1)/Inputs!$B$7)&gt;=(INT((P$3-1-MOD(P9-1,Inputs!$B$7))/Inputs!$B$7)+1)-1,ROUND(I$2*1440-I$3*60,0)/1440,MAX(I$1,MIN(ROUND(I$2*1440-I$3*60,0)/1440,ROUND((I$1+INT((P9-1)/Inputs!$B$7)/((INT((P$3-1-MOD(P9-1,Inputs!$B$7))/Inputs!$B$7)+1)-1)*((ROUND(I$2*1440-I$3*60,0)/1440)-I$1))*96,0)/96)))))))</f>
        <v>0</v>
      </c>
      <c r="X9" s="18" t="n">
        <f aca="false">IF(J9=0,0,IF(Inputs!$D26="Open",J$1,IF(Inputs!$D26="Close",ROUND(J$2*1440-J$3*60,0)/1440,IF(OR(INT((Q9-1)/Inputs!$B$7)=0,(INT((Q$3-1-MOD(Q9-1,Inputs!$B$7))/Inputs!$B$7)+1)&lt;=1),J$1,IF(INT((Q9-1)/Inputs!$B$7)&gt;=(INT((Q$3-1-MOD(Q9-1,Inputs!$B$7))/Inputs!$B$7)+1)-1,ROUND(J$2*1440-J$3*60,0)/1440,MAX(J$1,MIN(ROUND(J$2*1440-J$3*60,0)/1440,ROUND((J$1+INT((Q9-1)/Inputs!$B$7)/((INT((Q$3-1-MOD(Q9-1,Inputs!$B$7))/Inputs!$B$7)+1)-1)*((ROUND(J$2*1440-J$3*60,0)/1440)-J$1))*96,0)/96)))))))</f>
        <v>0</v>
      </c>
      <c r="Y9" s="18" t="n">
        <f aca="false">IF(K9=0,0,IF(Inputs!$D26="Open",K$1,IF(Inputs!$D26="Close",ROUND(K$2*1440-K$3*60,0)/1440,IF(OR(INT((R9-1)/Inputs!$B$7)=0,(INT((R$3-1-MOD(R9-1,Inputs!$B$7))/Inputs!$B$7)+1)&lt;=1),K$1,IF(INT((R9-1)/Inputs!$B$7)&gt;=(INT((R$3-1-MOD(R9-1,Inputs!$B$7))/Inputs!$B$7)+1)-1,ROUND(K$2*1440-K$3*60,0)/1440,MAX(K$1,MIN(ROUND(K$2*1440-K$3*60,0)/1440,ROUND((K$1+INT((R9-1)/Inputs!$B$7)/((INT((R$3-1-MOD(R9-1,Inputs!$B$7))/Inputs!$B$7)+1)-1)*((ROUND(K$2*1440-K$3*60,0)/1440)-K$1))*96,0)/96)))))))</f>
        <v>0.302083333333333</v>
      </c>
      <c r="Z9" s="18" t="n">
        <f aca="false">IF(L9=0,0,IF(Inputs!$D26="Open",L$1,IF(Inputs!$D26="Close",ROUND(L$2*1440-L$3*60,0)/1440,IF(OR(INT((S9-1)/Inputs!$B$7)=0,(INT((S$3-1-MOD(S9-1,Inputs!$B$7))/Inputs!$B$7)+1)&lt;=1),L$1,IF(INT((S9-1)/Inputs!$B$7)&gt;=(INT((S$3-1-MOD(S9-1,Inputs!$B$7))/Inputs!$B$7)+1)-1,ROUND(L$2*1440-L$3*60,0)/1440,MAX(L$1,MIN(ROUND(L$2*1440-L$3*60,0)/1440,ROUND((L$1+INT((S9-1)/Inputs!$B$7)/((INT((S$3-1-MOD(S9-1,Inputs!$B$7))/Inputs!$B$7)+1)-1)*((ROUND(L$2*1440-L$3*60,0)/1440)-L$1))*96,0)/96)))))))</f>
        <v>0.3125</v>
      </c>
      <c r="AA9" s="18" t="n">
        <f aca="false">IF(F9=0,0,ROUND(T9*1440+F$3*60,0)/1440)</f>
        <v>0.65625</v>
      </c>
      <c r="AB9" s="18" t="n">
        <f aca="false">IF(G9=0,0,ROUND(U9*1440+G$3*60,0)/1440)</f>
        <v>0.65625</v>
      </c>
      <c r="AC9" s="18" t="n">
        <f aca="false">IF(H9=0,0,ROUND(V9*1440+H$3*60,0)/1440)</f>
        <v>0.65625</v>
      </c>
      <c r="AD9" s="18" t="n">
        <f aca="false">IF(I9=0,0,ROUND(W9*1440+I$3*60,0)/1440)</f>
        <v>0</v>
      </c>
      <c r="AE9" s="18" t="n">
        <f aca="false">IF(J9=0,0,ROUND(X9*1440+J$3*60,0)/1440)</f>
        <v>0</v>
      </c>
      <c r="AF9" s="18" t="n">
        <f aca="false">IF(K9=0,0,ROUND(Y9*1440+K$3*60,0)/1440)</f>
        <v>0.65625</v>
      </c>
      <c r="AG9" s="18" t="n">
        <f aca="false">IF(L9=0,0,ROUND(Z9*1440+L$3*60,0)/1440)</f>
        <v>0.666666666666667</v>
      </c>
      <c r="AH9" s="19" t="n">
        <f aca="false">SUMPRODUCT((MOD(AO$1:AU$1-0,7)&lt;Inputs!$B$6)*AO$2:AU$2*(AO8:AU8+1))*100+MOD(0-5,7)</f>
        <v>802</v>
      </c>
      <c r="AI9" s="19" t="n">
        <f aca="false">SUMPRODUCT((MOD(AO$1:AU$1-1,7)&lt;Inputs!$B$6)*AO$2:AU$2*(AO8:AU8+1))*100+MOD(1-5,7)</f>
        <v>803</v>
      </c>
      <c r="AJ9" s="19" t="n">
        <f aca="false">SUMPRODUCT((MOD(AO$1:AU$1-2,7)&lt;Inputs!$B$6)*AO$2:AU$2*(AO8:AU8+1))*100+MOD(2-5,7)</f>
        <v>804</v>
      </c>
      <c r="AK9" s="19" t="n">
        <f aca="false">SUMPRODUCT((MOD(AO$1:AU$1-3,7)&lt;Inputs!$B$6)*AO$2:AU$2*(AO8:AU8+1))*100+MOD(3-5,7)</f>
        <v>605</v>
      </c>
      <c r="AL9" s="19" t="n">
        <f aca="false">SUMPRODUCT((MOD(AO$1:AU$1-4,7)&lt;Inputs!$B$6)*AO$2:AU$2*(AO8:AU8+1))*100+MOD(4-5,7)</f>
        <v>606</v>
      </c>
      <c r="AM9" s="19" t="n">
        <f aca="false">SUMPRODUCT((MOD(AO$1:AU$1-5,7)&lt;Inputs!$B$6)*AO$2:AU$2*(AO8:AU8+1))*100+MOD(5-5,7)</f>
        <v>800</v>
      </c>
      <c r="AN9" s="19" t="n">
        <f aca="false">SUMPRODUCT((MOD(AO$1:AU$1-6,7)&lt;Inputs!$B$6)*AO$2:AU$2*(AO8:AU8+1))*100+MOD(6-5,7)</f>
        <v>801</v>
      </c>
      <c r="AO9" s="19" t="n">
        <f aca="false">AO8+IF($B9=1,IF(MOD(0-$D9,7)&lt;Inputs!$B$6,1,0),0)</f>
        <v>1</v>
      </c>
      <c r="AP9" s="19" t="n">
        <f aca="false">AP8+IF($B9=1,IF(MOD(1-$D9,7)&lt;Inputs!$B$6,1,0),0)</f>
        <v>1</v>
      </c>
      <c r="AQ9" s="19" t="n">
        <f aca="false">AQ8+IF($B9=1,IF(MOD(2-$D9,7)&lt;Inputs!$B$6,1,0),0)</f>
        <v>1</v>
      </c>
      <c r="AR9" s="19" t="n">
        <f aca="false">AR8+IF($B9=1,IF(MOD(3-$D9,7)&lt;Inputs!$B$6,1,0),0)</f>
        <v>2</v>
      </c>
      <c r="AS9" s="19" t="n">
        <f aca="false">AS8+IF($B9=1,IF(MOD(4-$D9,7)&lt;Inputs!$B$6,1,0),0)</f>
        <v>1</v>
      </c>
      <c r="AT9" s="19" t="n">
        <f aca="false">AT8+IF($B9=1,IF(MOD(5-$D9,7)&lt;Inputs!$B$6,1,0),0)</f>
        <v>1</v>
      </c>
      <c r="AU9" s="19" t="n">
        <f aca="false">AU8+IF($B9=1,IF(MOD(6-$D9,7)&lt;Inputs!$B$6,1,0),0)</f>
        <v>1</v>
      </c>
    </row>
    <row r="10" customFormat="false" ht="15" hidden="false" customHeight="false" outlineLevel="0" collapsed="false">
      <c r="A10" s="0" t="n">
        <v>5</v>
      </c>
      <c r="B10" s="0" t="n">
        <f aca="false">IF(A10&lt;=Inputs!$B$3,1,0)</f>
        <v>1</v>
      </c>
      <c r="C10" s="0" t="n">
        <f aca="false">MOD(5+MOD(A10-1,7),7)</f>
        <v>2</v>
      </c>
      <c r="D10" s="0" t="n">
        <f aca="false">IF(Inputs!C27&lt;&gt;"",MATCH(Inputs!C27,Inputs!$A$11:$A$17,0)-1,IF(B10=0,0,MATCH(MIN(AH10:AN10),AH10:AN10,0)-1))</f>
        <v>5</v>
      </c>
      <c r="F10" s="0" t="n">
        <f aca="false">IF(OR($B10=0,F$3=0),0,IF(MOD(0-$D10,7)&lt;Inputs!$B$6,0,1))</f>
        <v>1</v>
      </c>
      <c r="G10" s="0" t="n">
        <f aca="false">IF(OR($B10=0,G$3=0),0,IF(MOD(1-$D10,7)&lt;Inputs!$B$6,0,1))</f>
        <v>1</v>
      </c>
      <c r="H10" s="0" t="n">
        <f aca="false">IF(OR($B10=0,H$3=0),0,IF(MOD(2-$D10,7)&lt;Inputs!$B$6,0,1))</f>
        <v>1</v>
      </c>
      <c r="I10" s="0" t="n">
        <f aca="false">IF(OR($B10=0,I$3=0),0,IF(MOD(3-$D10,7)&lt;Inputs!$B$6,0,1))</f>
        <v>1</v>
      </c>
      <c r="J10" s="0" t="n">
        <f aca="false">IF(OR($B10=0,J$3=0),0,IF(MOD(4-$D10,7)&lt;Inputs!$B$6,0,1))</f>
        <v>1</v>
      </c>
      <c r="K10" s="0" t="n">
        <f aca="false">IF(OR($B10=0,K$3=0),0,IF(MOD(5-$D10,7)&lt;Inputs!$B$6,0,1))</f>
        <v>0</v>
      </c>
      <c r="L10" s="0" t="n">
        <f aca="false">IF(OR($B10=0,L$3=0),0,IF(MOD(6-$D10,7)&lt;Inputs!$B$6,0,1))</f>
        <v>0</v>
      </c>
      <c r="M10" s="0" t="n">
        <f aca="false">SUM(F$6:F10)</f>
        <v>4</v>
      </c>
      <c r="N10" s="0" t="n">
        <f aca="false">SUM(G$6:G10)</f>
        <v>4</v>
      </c>
      <c r="O10" s="0" t="n">
        <f aca="false">SUM(H$6:H10)</f>
        <v>4</v>
      </c>
      <c r="P10" s="0" t="n">
        <f aca="false">SUM(I$6:I10)</f>
        <v>3</v>
      </c>
      <c r="Q10" s="0" t="n">
        <f aca="false">SUM(J$6:J10)</f>
        <v>4</v>
      </c>
      <c r="R10" s="0" t="n">
        <f aca="false">SUM(K$6:K10)</f>
        <v>3</v>
      </c>
      <c r="S10" s="0" t="n">
        <f aca="false">SUM(L$6:L10)</f>
        <v>3</v>
      </c>
      <c r="T10" s="18" t="n">
        <f aca="false">IF(F10=0,0,IF(Inputs!$D27="Open",F$1,IF(Inputs!$D27="Close",ROUND(F$2*1440-F$3*60,0)/1440,IF(OR(INT((M10-1)/Inputs!$B$7)=0,(INT((M$3-1-MOD(M10-1,Inputs!$B$7))/Inputs!$B$7)+1)&lt;=1),F$1,IF(INT((M10-1)/Inputs!$B$7)&gt;=(INT((M$3-1-MOD(M10-1,Inputs!$B$7))/Inputs!$B$7)+1)-1,ROUND(F$2*1440-F$3*60,0)/1440,MAX(F$1,MIN(ROUND(F$2*1440-F$3*60,0)/1440,ROUND((F$1+INT((M10-1)/Inputs!$B$7)/((INT((M$3-1-MOD(M10-1,Inputs!$B$7))/Inputs!$B$7)+1)-1)*((ROUND(F$2*1440-F$3*60,0)/1440)-F$1))*96,0)/96)))))))</f>
        <v>0.333333333333333</v>
      </c>
      <c r="U10" s="18" t="n">
        <f aca="false">IF(G10=0,0,IF(Inputs!$D27="Open",G$1,IF(Inputs!$D27="Close",ROUND(G$2*1440-G$3*60,0)/1440,IF(OR(INT((N10-1)/Inputs!$B$7)=0,(INT((N$3-1-MOD(N10-1,Inputs!$B$7))/Inputs!$B$7)+1)&lt;=1),G$1,IF(INT((N10-1)/Inputs!$B$7)&gt;=(INT((N$3-1-MOD(N10-1,Inputs!$B$7))/Inputs!$B$7)+1)-1,ROUND(G$2*1440-G$3*60,0)/1440,MAX(G$1,MIN(ROUND(G$2*1440-G$3*60,0)/1440,ROUND((G$1+INT((N10-1)/Inputs!$B$7)/((INT((N$3-1-MOD(N10-1,Inputs!$B$7))/Inputs!$B$7)+1)-1)*((ROUND(G$2*1440-G$3*60,0)/1440)-G$1))*96,0)/96)))))))</f>
        <v>0.333333333333333</v>
      </c>
      <c r="V10" s="18" t="n">
        <f aca="false">IF(H10=0,0,IF(Inputs!$D27="Open",H$1,IF(Inputs!$D27="Close",ROUND(H$2*1440-H$3*60,0)/1440,IF(OR(INT((O10-1)/Inputs!$B$7)=0,(INT((O$3-1-MOD(O10-1,Inputs!$B$7))/Inputs!$B$7)+1)&lt;=1),H$1,IF(INT((O10-1)/Inputs!$B$7)&gt;=(INT((O$3-1-MOD(O10-1,Inputs!$B$7))/Inputs!$B$7)+1)-1,ROUND(H$2*1440-H$3*60,0)/1440,MAX(H$1,MIN(ROUND(H$2*1440-H$3*60,0)/1440,ROUND((H$1+INT((O10-1)/Inputs!$B$7)/((INT((O$3-1-MOD(O10-1,Inputs!$B$7))/Inputs!$B$7)+1)-1)*((ROUND(H$2*1440-H$3*60,0)/1440)-H$1))*96,0)/96)))))))</f>
        <v>0.322916666666667</v>
      </c>
      <c r="W10" s="18" t="n">
        <f aca="false">IF(I10=0,0,IF(Inputs!$D27="Open",I$1,IF(Inputs!$D27="Close",ROUND(I$2*1440-I$3*60,0)/1440,IF(OR(INT((P10-1)/Inputs!$B$7)=0,(INT((P$3-1-MOD(P10-1,Inputs!$B$7))/Inputs!$B$7)+1)&lt;=1),I$1,IF(INT((P10-1)/Inputs!$B$7)&gt;=(INT((P$3-1-MOD(P10-1,Inputs!$B$7))/Inputs!$B$7)+1)-1,ROUND(I$2*1440-I$3*60,0)/1440,MAX(I$1,MIN(ROUND(I$2*1440-I$3*60,0)/1440,ROUND((I$1+INT((P10-1)/Inputs!$B$7)/((INT((P$3-1-MOD(P10-1,Inputs!$B$7))/Inputs!$B$7)+1)-1)*((ROUND(I$2*1440-I$3*60,0)/1440)-I$1))*96,0)/96)))))))</f>
        <v>0.302083333333333</v>
      </c>
      <c r="X10" s="18" t="n">
        <f aca="false">IF(J10=0,0,IF(Inputs!$D27="Open",J$1,IF(Inputs!$D27="Close",ROUND(J$2*1440-J$3*60,0)/1440,IF(OR(INT((Q10-1)/Inputs!$B$7)=0,(INT((Q$3-1-MOD(Q10-1,Inputs!$B$7))/Inputs!$B$7)+1)&lt;=1),J$1,IF(INT((Q10-1)/Inputs!$B$7)&gt;=(INT((Q$3-1-MOD(Q10-1,Inputs!$B$7))/Inputs!$B$7)+1)-1,ROUND(J$2*1440-J$3*60,0)/1440,MAX(J$1,MIN(ROUND(J$2*1440-J$3*60,0)/1440,ROUND((J$1+INT((Q10-1)/Inputs!$B$7)/((INT((Q$3-1-MOD(Q10-1,Inputs!$B$7))/Inputs!$B$7)+1)-1)*((ROUND(J$2*1440-J$3*60,0)/1440)-J$1))*96,0)/96)))))))</f>
        <v>0.322916666666667</v>
      </c>
      <c r="Y10" s="18" t="n">
        <f aca="false">IF(K10=0,0,IF(Inputs!$D27="Open",K$1,IF(Inputs!$D27="Close",ROUND(K$2*1440-K$3*60,0)/1440,IF(OR(INT((R10-1)/Inputs!$B$7)=0,(INT((R$3-1-MOD(R10-1,Inputs!$B$7))/Inputs!$B$7)+1)&lt;=1),K$1,IF(INT((R10-1)/Inputs!$B$7)&gt;=(INT((R$3-1-MOD(R10-1,Inputs!$B$7))/Inputs!$B$7)+1)-1,ROUND(K$2*1440-K$3*60,0)/1440,MAX(K$1,MIN(ROUND(K$2*1440-K$3*60,0)/1440,ROUND((K$1+INT((R10-1)/Inputs!$B$7)/((INT((R$3-1-MOD(R10-1,Inputs!$B$7))/Inputs!$B$7)+1)-1)*((ROUND(K$2*1440-K$3*60,0)/1440)-K$1))*96,0)/96)))))))</f>
        <v>0</v>
      </c>
      <c r="Z10" s="18" t="n">
        <f aca="false">IF(L10=0,0,IF(Inputs!$D27="Open",L$1,IF(Inputs!$D27="Close",ROUND(L$2*1440-L$3*60,0)/1440,IF(OR(INT((S10-1)/Inputs!$B$7)=0,(INT((S$3-1-MOD(S10-1,Inputs!$B$7))/Inputs!$B$7)+1)&lt;=1),L$1,IF(INT((S10-1)/Inputs!$B$7)&gt;=(INT((S$3-1-MOD(S10-1,Inputs!$B$7))/Inputs!$B$7)+1)-1,ROUND(L$2*1440-L$3*60,0)/1440,MAX(L$1,MIN(ROUND(L$2*1440-L$3*60,0)/1440,ROUND((L$1+INT((S10-1)/Inputs!$B$7)/((INT((S$3-1-MOD(S10-1,Inputs!$B$7))/Inputs!$B$7)+1)-1)*((ROUND(L$2*1440-L$3*60,0)/1440)-L$1))*96,0)/96)))))))</f>
        <v>0</v>
      </c>
      <c r="AA10" s="18" t="n">
        <f aca="false">IF(F10=0,0,ROUND(T10*1440+F$3*60,0)/1440)</f>
        <v>0.6875</v>
      </c>
      <c r="AB10" s="18" t="n">
        <f aca="false">IF(G10=0,0,ROUND(U10*1440+G$3*60,0)/1440)</f>
        <v>0.6875</v>
      </c>
      <c r="AC10" s="18" t="n">
        <f aca="false">IF(H10=0,0,ROUND(V10*1440+H$3*60,0)/1440)</f>
        <v>0.677083333333333</v>
      </c>
      <c r="AD10" s="18" t="n">
        <f aca="false">IF(I10=0,0,ROUND(W10*1440+I$3*60,0)/1440)</f>
        <v>0.65625</v>
      </c>
      <c r="AE10" s="18" t="n">
        <f aca="false">IF(J10=0,0,ROUND(X10*1440+J$3*60,0)/1440)</f>
        <v>0.677083333333333</v>
      </c>
      <c r="AF10" s="18" t="n">
        <f aca="false">IF(K10=0,0,ROUND(Y10*1440+K$3*60,0)/1440)</f>
        <v>0</v>
      </c>
      <c r="AG10" s="18" t="n">
        <f aca="false">IF(L10=0,0,ROUND(Z10*1440+L$3*60,0)/1440)</f>
        <v>0</v>
      </c>
      <c r="AH10" s="19" t="n">
        <f aca="false">SUMPRODUCT((MOD(AO$1:AU$1-0,7)&lt;Inputs!$B$6)*AO$2:AU$2*(AO9:AU9+1))*100+MOD(0-5,7)</f>
        <v>802</v>
      </c>
      <c r="AI10" s="19" t="n">
        <f aca="false">SUMPRODUCT((MOD(AO$1:AU$1-1,7)&lt;Inputs!$B$6)*AO$2:AU$2*(AO9:AU9+1))*100+MOD(1-5,7)</f>
        <v>803</v>
      </c>
      <c r="AJ10" s="19" t="n">
        <f aca="false">SUMPRODUCT((MOD(AO$1:AU$1-2,7)&lt;Inputs!$B$6)*AO$2:AU$2*(AO9:AU9+1))*100+MOD(2-5,7)</f>
        <v>1004</v>
      </c>
      <c r="AK10" s="19" t="n">
        <f aca="false">SUMPRODUCT((MOD(AO$1:AU$1-3,7)&lt;Inputs!$B$6)*AO$2:AU$2*(AO9:AU9+1))*100+MOD(3-5,7)</f>
        <v>1005</v>
      </c>
      <c r="AL10" s="19" t="n">
        <f aca="false">SUMPRODUCT((MOD(AO$1:AU$1-4,7)&lt;Inputs!$B$6)*AO$2:AU$2*(AO9:AU9+1))*100+MOD(4-5,7)</f>
        <v>806</v>
      </c>
      <c r="AM10" s="19" t="n">
        <f aca="false">SUMPRODUCT((MOD(AO$1:AU$1-5,7)&lt;Inputs!$B$6)*AO$2:AU$2*(AO9:AU9+1))*100+MOD(5-5,7)</f>
        <v>800</v>
      </c>
      <c r="AN10" s="19" t="n">
        <f aca="false">SUMPRODUCT((MOD(AO$1:AU$1-6,7)&lt;Inputs!$B$6)*AO$2:AU$2*(AO9:AU9+1))*100+MOD(6-5,7)</f>
        <v>801</v>
      </c>
      <c r="AO10" s="19" t="n">
        <f aca="false">AO9+IF($B10=1,IF(MOD(0-$D10,7)&lt;Inputs!$B$6,1,0),0)</f>
        <v>1</v>
      </c>
      <c r="AP10" s="19" t="n">
        <f aca="false">AP9+IF($B10=1,IF(MOD(1-$D10,7)&lt;Inputs!$B$6,1,0),0)</f>
        <v>1</v>
      </c>
      <c r="AQ10" s="19" t="n">
        <f aca="false">AQ9+IF($B10=1,IF(MOD(2-$D10,7)&lt;Inputs!$B$6,1,0),0)</f>
        <v>1</v>
      </c>
      <c r="AR10" s="19" t="n">
        <f aca="false">AR9+IF($B10=1,IF(MOD(3-$D10,7)&lt;Inputs!$B$6,1,0),0)</f>
        <v>2</v>
      </c>
      <c r="AS10" s="19" t="n">
        <f aca="false">AS9+IF($B10=1,IF(MOD(4-$D10,7)&lt;Inputs!$B$6,1,0),0)</f>
        <v>1</v>
      </c>
      <c r="AT10" s="19" t="n">
        <f aca="false">AT9+IF($B10=1,IF(MOD(5-$D10,7)&lt;Inputs!$B$6,1,0),0)</f>
        <v>2</v>
      </c>
      <c r="AU10" s="19" t="n">
        <f aca="false">AU9+IF($B10=1,IF(MOD(6-$D10,7)&lt;Inputs!$B$6,1,0),0)</f>
        <v>2</v>
      </c>
    </row>
    <row r="11" customFormat="false" ht="15" hidden="false" customHeight="false" outlineLevel="0" collapsed="false">
      <c r="A11" s="0" t="n">
        <v>6</v>
      </c>
      <c r="B11" s="0" t="n">
        <f aca="false">IF(A11&lt;=Inputs!$B$3,1,0)</f>
        <v>1</v>
      </c>
      <c r="C11" s="0" t="n">
        <f aca="false">MOD(5+MOD(A11-1,7),7)</f>
        <v>3</v>
      </c>
      <c r="D11" s="0" t="n">
        <f aca="false">IF(Inputs!C28&lt;&gt;"",MATCH(Inputs!C28,Inputs!$A$11:$A$17,0)-1,IF(B11=0,0,MATCH(MIN(AH11:AN11),AH11:AN11,0)-1))</f>
        <v>0</v>
      </c>
      <c r="F11" s="0" t="n">
        <f aca="false">IF(OR($B11=0,F$3=0),0,IF(MOD(0-$D11,7)&lt;Inputs!$B$6,0,1))</f>
        <v>0</v>
      </c>
      <c r="G11" s="0" t="n">
        <f aca="false">IF(OR($B11=0,G$3=0),0,IF(MOD(1-$D11,7)&lt;Inputs!$B$6,0,1))</f>
        <v>0</v>
      </c>
      <c r="H11" s="0" t="n">
        <f aca="false">IF(OR($B11=0,H$3=0),0,IF(MOD(2-$D11,7)&lt;Inputs!$B$6,0,1))</f>
        <v>1</v>
      </c>
      <c r="I11" s="0" t="n">
        <f aca="false">IF(OR($B11=0,I$3=0),0,IF(MOD(3-$D11,7)&lt;Inputs!$B$6,0,1))</f>
        <v>1</v>
      </c>
      <c r="J11" s="0" t="n">
        <f aca="false">IF(OR($B11=0,J$3=0),0,IF(MOD(4-$D11,7)&lt;Inputs!$B$6,0,1))</f>
        <v>1</v>
      </c>
      <c r="K11" s="0" t="n">
        <f aca="false">IF(OR($B11=0,K$3=0),0,IF(MOD(5-$D11,7)&lt;Inputs!$B$6,0,1))</f>
        <v>1</v>
      </c>
      <c r="L11" s="0" t="n">
        <f aca="false">IF(OR($B11=0,L$3=0),0,IF(MOD(6-$D11,7)&lt;Inputs!$B$6,0,1))</f>
        <v>1</v>
      </c>
      <c r="M11" s="0" t="n">
        <f aca="false">SUM(F$6:F11)</f>
        <v>4</v>
      </c>
      <c r="N11" s="0" t="n">
        <f aca="false">SUM(G$6:G11)</f>
        <v>4</v>
      </c>
      <c r="O11" s="0" t="n">
        <f aca="false">SUM(H$6:H11)</f>
        <v>5</v>
      </c>
      <c r="P11" s="0" t="n">
        <f aca="false">SUM(I$6:I11)</f>
        <v>4</v>
      </c>
      <c r="Q11" s="0" t="n">
        <f aca="false">SUM(J$6:J11)</f>
        <v>5</v>
      </c>
      <c r="R11" s="0" t="n">
        <f aca="false">SUM(K$6:K11)</f>
        <v>4</v>
      </c>
      <c r="S11" s="0" t="n">
        <f aca="false">SUM(L$6:L11)</f>
        <v>4</v>
      </c>
      <c r="T11" s="18" t="n">
        <f aca="false">IF(F11=0,0,IF(Inputs!$D28="Open",F$1,IF(Inputs!$D28="Close",ROUND(F$2*1440-F$3*60,0)/1440,IF(OR(INT((M11-1)/Inputs!$B$7)=0,(INT((M$3-1-MOD(M11-1,Inputs!$B$7))/Inputs!$B$7)+1)&lt;=1),F$1,IF(INT((M11-1)/Inputs!$B$7)&gt;=(INT((M$3-1-MOD(M11-1,Inputs!$B$7))/Inputs!$B$7)+1)-1,ROUND(F$2*1440-F$3*60,0)/1440,MAX(F$1,MIN(ROUND(F$2*1440-F$3*60,0)/1440,ROUND((F$1+INT((M11-1)/Inputs!$B$7)/((INT((M$3-1-MOD(M11-1,Inputs!$B$7))/Inputs!$B$7)+1)-1)*((ROUND(F$2*1440-F$3*60,0)/1440)-F$1))*96,0)/96)))))))</f>
        <v>0</v>
      </c>
      <c r="U11" s="18" t="n">
        <f aca="false">IF(G11=0,0,IF(Inputs!$D28="Open",G$1,IF(Inputs!$D28="Close",ROUND(G$2*1440-G$3*60,0)/1440,IF(OR(INT((N11-1)/Inputs!$B$7)=0,(INT((N$3-1-MOD(N11-1,Inputs!$B$7))/Inputs!$B$7)+1)&lt;=1),G$1,IF(INT((N11-1)/Inputs!$B$7)&gt;=(INT((N$3-1-MOD(N11-1,Inputs!$B$7))/Inputs!$B$7)+1)-1,ROUND(G$2*1440-G$3*60,0)/1440,MAX(G$1,MIN(ROUND(G$2*1440-G$3*60,0)/1440,ROUND((G$1+INT((N11-1)/Inputs!$B$7)/((INT((N$3-1-MOD(N11-1,Inputs!$B$7))/Inputs!$B$7)+1)-1)*((ROUND(G$2*1440-G$3*60,0)/1440)-G$1))*96,0)/96)))))))</f>
        <v>0</v>
      </c>
      <c r="V11" s="18" t="n">
        <f aca="false">IF(H11=0,0,IF(Inputs!$D28="Open",H$1,IF(Inputs!$D28="Close",ROUND(H$2*1440-H$3*60,0)/1440,IF(OR(INT((O11-1)/Inputs!$B$7)=0,(INT((O$3-1-MOD(O11-1,Inputs!$B$7))/Inputs!$B$7)+1)&lt;=1),H$1,IF(INT((O11-1)/Inputs!$B$7)&gt;=(INT((O$3-1-MOD(O11-1,Inputs!$B$7))/Inputs!$B$7)+1)-1,ROUND(H$2*1440-H$3*60,0)/1440,MAX(H$1,MIN(ROUND(H$2*1440-H$3*60,0)/1440,ROUND((H$1+INT((O11-1)/Inputs!$B$7)/((INT((O$3-1-MOD(O11-1,Inputs!$B$7))/Inputs!$B$7)+1)-1)*((ROUND(H$2*1440-H$3*60,0)/1440)-H$1))*96,0)/96)))))))</f>
        <v>0.34375</v>
      </c>
      <c r="W11" s="18" t="n">
        <f aca="false">IF(I11=0,0,IF(Inputs!$D28="Open",I$1,IF(Inputs!$D28="Close",ROUND(I$2*1440-I$3*60,0)/1440,IF(OR(INT((P11-1)/Inputs!$B$7)=0,(INT((P$3-1-MOD(P11-1,Inputs!$B$7))/Inputs!$B$7)+1)&lt;=1),I$1,IF(INT((P11-1)/Inputs!$B$7)&gt;=(INT((P$3-1-MOD(P11-1,Inputs!$B$7))/Inputs!$B$7)+1)-1,ROUND(I$2*1440-I$3*60,0)/1440,MAX(I$1,MIN(ROUND(I$2*1440-I$3*60,0)/1440,ROUND((I$1+INT((P11-1)/Inputs!$B$7)/((INT((P$3-1-MOD(P11-1,Inputs!$B$7))/Inputs!$B$7)+1)-1)*((ROUND(I$2*1440-I$3*60,0)/1440)-I$1))*96,0)/96)))))))</f>
        <v>0.333333333333333</v>
      </c>
      <c r="X11" s="18" t="n">
        <f aca="false">IF(J11=0,0,IF(Inputs!$D28="Open",J$1,IF(Inputs!$D28="Close",ROUND(J$2*1440-J$3*60,0)/1440,IF(OR(INT((Q11-1)/Inputs!$B$7)=0,(INT((Q$3-1-MOD(Q11-1,Inputs!$B$7))/Inputs!$B$7)+1)&lt;=1),J$1,IF(INT((Q11-1)/Inputs!$B$7)&gt;=(INT((Q$3-1-MOD(Q11-1,Inputs!$B$7))/Inputs!$B$7)+1)-1,ROUND(J$2*1440-J$3*60,0)/1440,MAX(J$1,MIN(ROUND(J$2*1440-J$3*60,0)/1440,ROUND((J$1+INT((Q11-1)/Inputs!$B$7)/((INT((Q$3-1-MOD(Q11-1,Inputs!$B$7))/Inputs!$B$7)+1)-1)*((ROUND(J$2*1440-J$3*60,0)/1440)-J$1))*96,0)/96)))))))</f>
        <v>0.34375</v>
      </c>
      <c r="Y11" s="18" t="n">
        <f aca="false">IF(K11=0,0,IF(Inputs!$D28="Open",K$1,IF(Inputs!$D28="Close",ROUND(K$2*1440-K$3*60,0)/1440,IF(OR(INT((R11-1)/Inputs!$B$7)=0,(INT((R$3-1-MOD(R11-1,Inputs!$B$7))/Inputs!$B$7)+1)&lt;=1),K$1,IF(INT((R11-1)/Inputs!$B$7)&gt;=(INT((R$3-1-MOD(R11-1,Inputs!$B$7))/Inputs!$B$7)+1)-1,ROUND(K$2*1440-K$3*60,0)/1440,MAX(K$1,MIN(ROUND(K$2*1440-K$3*60,0)/1440,ROUND((K$1+INT((R11-1)/Inputs!$B$7)/((INT((R$3-1-MOD(R11-1,Inputs!$B$7))/Inputs!$B$7)+1)-1)*((ROUND(K$2*1440-K$3*60,0)/1440)-K$1))*96,0)/96)))))))</f>
        <v>0.333333333333333</v>
      </c>
      <c r="Z11" s="18" t="n">
        <f aca="false">IF(L11=0,0,IF(Inputs!$D28="Open",L$1,IF(Inputs!$D28="Close",ROUND(L$2*1440-L$3*60,0)/1440,IF(OR(INT((S11-1)/Inputs!$B$7)=0,(INT((S$3-1-MOD(S11-1,Inputs!$B$7))/Inputs!$B$7)+1)&lt;=1),L$1,IF(INT((S11-1)/Inputs!$B$7)&gt;=(INT((S$3-1-MOD(S11-1,Inputs!$B$7))/Inputs!$B$7)+1)-1,ROUND(L$2*1440-L$3*60,0)/1440,MAX(L$1,MIN(ROUND(L$2*1440-L$3*60,0)/1440,ROUND((L$1+INT((S11-1)/Inputs!$B$7)/((INT((S$3-1-MOD(S11-1,Inputs!$B$7))/Inputs!$B$7)+1)-1)*((ROUND(L$2*1440-L$3*60,0)/1440)-L$1))*96,0)/96)))))))</f>
        <v>0.354166666666667</v>
      </c>
      <c r="AA11" s="18" t="n">
        <f aca="false">IF(F11=0,0,ROUND(T11*1440+F$3*60,0)/1440)</f>
        <v>0</v>
      </c>
      <c r="AB11" s="18" t="n">
        <f aca="false">IF(G11=0,0,ROUND(U11*1440+G$3*60,0)/1440)</f>
        <v>0</v>
      </c>
      <c r="AC11" s="18" t="n">
        <f aca="false">IF(H11=0,0,ROUND(V11*1440+H$3*60,0)/1440)</f>
        <v>0.697916666666667</v>
      </c>
      <c r="AD11" s="18" t="n">
        <f aca="false">IF(I11=0,0,ROUND(W11*1440+I$3*60,0)/1440)</f>
        <v>0.6875</v>
      </c>
      <c r="AE11" s="18" t="n">
        <f aca="false">IF(J11=0,0,ROUND(X11*1440+J$3*60,0)/1440)</f>
        <v>0.697916666666667</v>
      </c>
      <c r="AF11" s="18" t="n">
        <f aca="false">IF(K11=0,0,ROUND(Y11*1440+K$3*60,0)/1440)</f>
        <v>0.6875</v>
      </c>
      <c r="AG11" s="18" t="n">
        <f aca="false">IF(L11=0,0,ROUND(Z11*1440+L$3*60,0)/1440)</f>
        <v>0.708333333333333</v>
      </c>
      <c r="AH11" s="19" t="n">
        <f aca="false">SUMPRODUCT((MOD(AO$1:AU$1-0,7)&lt;Inputs!$B$6)*AO$2:AU$2*(AO10:AU10+1))*100+MOD(0-5,7)</f>
        <v>802</v>
      </c>
      <c r="AI11" s="19" t="n">
        <f aca="false">SUMPRODUCT((MOD(AO$1:AU$1-1,7)&lt;Inputs!$B$6)*AO$2:AU$2*(AO10:AU10+1))*100+MOD(1-5,7)</f>
        <v>803</v>
      </c>
      <c r="AJ11" s="19" t="n">
        <f aca="false">SUMPRODUCT((MOD(AO$1:AU$1-2,7)&lt;Inputs!$B$6)*AO$2:AU$2*(AO10:AU10+1))*100+MOD(2-5,7)</f>
        <v>1004</v>
      </c>
      <c r="AK11" s="19" t="n">
        <f aca="false">SUMPRODUCT((MOD(AO$1:AU$1-3,7)&lt;Inputs!$B$6)*AO$2:AU$2*(AO10:AU10+1))*100+MOD(3-5,7)</f>
        <v>1005</v>
      </c>
      <c r="AL11" s="19" t="n">
        <f aca="false">SUMPRODUCT((MOD(AO$1:AU$1-4,7)&lt;Inputs!$B$6)*AO$2:AU$2*(AO10:AU10+1))*100+MOD(4-5,7)</f>
        <v>1006</v>
      </c>
      <c r="AM11" s="19" t="n">
        <f aca="false">SUMPRODUCT((MOD(AO$1:AU$1-5,7)&lt;Inputs!$B$6)*AO$2:AU$2*(AO10:AU10+1))*100+MOD(5-5,7)</f>
        <v>1200</v>
      </c>
      <c r="AN11" s="19" t="n">
        <f aca="false">SUMPRODUCT((MOD(AO$1:AU$1-6,7)&lt;Inputs!$B$6)*AO$2:AU$2*(AO10:AU10+1))*100+MOD(6-5,7)</f>
        <v>1001</v>
      </c>
      <c r="AO11" s="19" t="n">
        <f aca="false">AO10+IF($B11=1,IF(MOD(0-$D11,7)&lt;Inputs!$B$6,1,0),0)</f>
        <v>2</v>
      </c>
      <c r="AP11" s="19" t="n">
        <f aca="false">AP10+IF($B11=1,IF(MOD(1-$D11,7)&lt;Inputs!$B$6,1,0),0)</f>
        <v>2</v>
      </c>
      <c r="AQ11" s="19" t="n">
        <f aca="false">AQ10+IF($B11=1,IF(MOD(2-$D11,7)&lt;Inputs!$B$6,1,0),0)</f>
        <v>1</v>
      </c>
      <c r="AR11" s="19" t="n">
        <f aca="false">AR10+IF($B11=1,IF(MOD(3-$D11,7)&lt;Inputs!$B$6,1,0),0)</f>
        <v>2</v>
      </c>
      <c r="AS11" s="19" t="n">
        <f aca="false">AS10+IF($B11=1,IF(MOD(4-$D11,7)&lt;Inputs!$B$6,1,0),0)</f>
        <v>1</v>
      </c>
      <c r="AT11" s="19" t="n">
        <f aca="false">AT10+IF($B11=1,IF(MOD(5-$D11,7)&lt;Inputs!$B$6,1,0),0)</f>
        <v>2</v>
      </c>
      <c r="AU11" s="19" t="n">
        <f aca="false">AU10+IF($B11=1,IF(MOD(6-$D11,7)&lt;Inputs!$B$6,1,0),0)</f>
        <v>2</v>
      </c>
    </row>
    <row r="12" customFormat="false" ht="15" hidden="false" customHeight="false" outlineLevel="0" collapsed="false">
      <c r="A12" s="0" t="n">
        <v>7</v>
      </c>
      <c r="B12" s="0" t="n">
        <f aca="false">IF(A12&lt;=Inputs!$B$3,1,0)</f>
        <v>1</v>
      </c>
      <c r="C12" s="0" t="n">
        <f aca="false">MOD(5+MOD(A12-1,7),7)</f>
        <v>4</v>
      </c>
      <c r="D12" s="0" t="n">
        <f aca="false">IF(Inputs!C29&lt;&gt;"",MATCH(Inputs!C29,Inputs!$A$11:$A$17,0)-1,IF(B12=0,0,MATCH(MIN(AH12:AN12),AH12:AN12,0)-1))</f>
        <v>1</v>
      </c>
      <c r="F12" s="0" t="n">
        <f aca="false">IF(OR($B12=0,F$3=0),0,IF(MOD(0-$D12,7)&lt;Inputs!$B$6,0,1))</f>
        <v>1</v>
      </c>
      <c r="G12" s="0" t="n">
        <f aca="false">IF(OR($B12=0,G$3=0),0,IF(MOD(1-$D12,7)&lt;Inputs!$B$6,0,1))</f>
        <v>0</v>
      </c>
      <c r="H12" s="0" t="n">
        <f aca="false">IF(OR($B12=0,H$3=0),0,IF(MOD(2-$D12,7)&lt;Inputs!$B$6,0,1))</f>
        <v>0</v>
      </c>
      <c r="I12" s="0" t="n">
        <f aca="false">IF(OR($B12=0,I$3=0),0,IF(MOD(3-$D12,7)&lt;Inputs!$B$6,0,1))</f>
        <v>1</v>
      </c>
      <c r="J12" s="0" t="n">
        <f aca="false">IF(OR($B12=0,J$3=0),0,IF(MOD(4-$D12,7)&lt;Inputs!$B$6,0,1))</f>
        <v>1</v>
      </c>
      <c r="K12" s="0" t="n">
        <f aca="false">IF(OR($B12=0,K$3=0),0,IF(MOD(5-$D12,7)&lt;Inputs!$B$6,0,1))</f>
        <v>1</v>
      </c>
      <c r="L12" s="0" t="n">
        <f aca="false">IF(OR($B12=0,L$3=0),0,IF(MOD(6-$D12,7)&lt;Inputs!$B$6,0,1))</f>
        <v>1</v>
      </c>
      <c r="M12" s="0" t="n">
        <f aca="false">SUM(F$6:F12)</f>
        <v>5</v>
      </c>
      <c r="N12" s="0" t="n">
        <f aca="false">SUM(G$6:G12)</f>
        <v>4</v>
      </c>
      <c r="O12" s="0" t="n">
        <f aca="false">SUM(H$6:H12)</f>
        <v>5</v>
      </c>
      <c r="P12" s="0" t="n">
        <f aca="false">SUM(I$6:I12)</f>
        <v>5</v>
      </c>
      <c r="Q12" s="0" t="n">
        <f aca="false">SUM(J$6:J12)</f>
        <v>6</v>
      </c>
      <c r="R12" s="0" t="n">
        <f aca="false">SUM(K$6:K12)</f>
        <v>5</v>
      </c>
      <c r="S12" s="0" t="n">
        <f aca="false">SUM(L$6:L12)</f>
        <v>5</v>
      </c>
      <c r="T12" s="18" t="n">
        <f aca="false">IF(F12=0,0,IF(Inputs!$D29="Open",F$1,IF(Inputs!$D29="Close",ROUND(F$2*1440-F$3*60,0)/1440,IF(OR(INT((M12-1)/Inputs!$B$7)=0,(INT((M$3-1-MOD(M12-1,Inputs!$B$7))/Inputs!$B$7)+1)&lt;=1),F$1,IF(INT((M12-1)/Inputs!$B$7)&gt;=(INT((M$3-1-MOD(M12-1,Inputs!$B$7))/Inputs!$B$7)+1)-1,ROUND(F$2*1440-F$3*60,0)/1440,MAX(F$1,MIN(ROUND(F$2*1440-F$3*60,0)/1440,ROUND((F$1+INT((M12-1)/Inputs!$B$7)/((INT((M$3-1-MOD(M12-1,Inputs!$B$7))/Inputs!$B$7)+1)-1)*((ROUND(F$2*1440-F$3*60,0)/1440)-F$1))*96,0)/96)))))))</f>
        <v>0.364583333333333</v>
      </c>
      <c r="U12" s="18" t="n">
        <f aca="false">IF(G12=0,0,IF(Inputs!$D29="Open",G$1,IF(Inputs!$D29="Close",ROUND(G$2*1440-G$3*60,0)/1440,IF(OR(INT((N12-1)/Inputs!$B$7)=0,(INT((N$3-1-MOD(N12-1,Inputs!$B$7))/Inputs!$B$7)+1)&lt;=1),G$1,IF(INT((N12-1)/Inputs!$B$7)&gt;=(INT((N$3-1-MOD(N12-1,Inputs!$B$7))/Inputs!$B$7)+1)-1,ROUND(G$2*1440-G$3*60,0)/1440,MAX(G$1,MIN(ROUND(G$2*1440-G$3*60,0)/1440,ROUND((G$1+INT((N12-1)/Inputs!$B$7)/((INT((N$3-1-MOD(N12-1,Inputs!$B$7))/Inputs!$B$7)+1)-1)*((ROUND(G$2*1440-G$3*60,0)/1440)-G$1))*96,0)/96)))))))</f>
        <v>0</v>
      </c>
      <c r="V12" s="18" t="n">
        <f aca="false">IF(H12=0,0,IF(Inputs!$D29="Open",H$1,IF(Inputs!$D29="Close",ROUND(H$2*1440-H$3*60,0)/1440,IF(OR(INT((O12-1)/Inputs!$B$7)=0,(INT((O$3-1-MOD(O12-1,Inputs!$B$7))/Inputs!$B$7)+1)&lt;=1),H$1,IF(INT((O12-1)/Inputs!$B$7)&gt;=(INT((O$3-1-MOD(O12-1,Inputs!$B$7))/Inputs!$B$7)+1)-1,ROUND(H$2*1440-H$3*60,0)/1440,MAX(H$1,MIN(ROUND(H$2*1440-H$3*60,0)/1440,ROUND((H$1+INT((O12-1)/Inputs!$B$7)/((INT((O$3-1-MOD(O12-1,Inputs!$B$7))/Inputs!$B$7)+1)-1)*((ROUND(H$2*1440-H$3*60,0)/1440)-H$1))*96,0)/96)))))))</f>
        <v>0</v>
      </c>
      <c r="W12" s="18" t="n">
        <f aca="false">IF(I12=0,0,IF(Inputs!$D29="Open",I$1,IF(Inputs!$D29="Close",ROUND(I$2*1440-I$3*60,0)/1440,IF(OR(INT((P12-1)/Inputs!$B$7)=0,(INT((P$3-1-MOD(P12-1,Inputs!$B$7))/Inputs!$B$7)+1)&lt;=1),I$1,IF(INT((P12-1)/Inputs!$B$7)&gt;=(INT((P$3-1-MOD(P12-1,Inputs!$B$7))/Inputs!$B$7)+1)-1,ROUND(I$2*1440-I$3*60,0)/1440,MAX(I$1,MIN(ROUND(I$2*1440-I$3*60,0)/1440,ROUND((I$1+INT((P12-1)/Inputs!$B$7)/((INT((P$3-1-MOD(P12-1,Inputs!$B$7))/Inputs!$B$7)+1)-1)*((ROUND(I$2*1440-I$3*60,0)/1440)-I$1))*96,0)/96)))))))</f>
        <v>0.364583333333333</v>
      </c>
      <c r="X12" s="18" t="n">
        <f aca="false">IF(J12=0,0,IF(Inputs!$D29="Open",J$1,IF(Inputs!$D29="Close",ROUND(J$2*1440-J$3*60,0)/1440,IF(OR(INT((Q12-1)/Inputs!$B$7)=0,(INT((Q$3-1-MOD(Q12-1,Inputs!$B$7))/Inputs!$B$7)+1)&lt;=1),J$1,IF(INT((Q12-1)/Inputs!$B$7)&gt;=(INT((Q$3-1-MOD(Q12-1,Inputs!$B$7))/Inputs!$B$7)+1)-1,ROUND(J$2*1440-J$3*60,0)/1440,MAX(J$1,MIN(ROUND(J$2*1440-J$3*60,0)/1440,ROUND((J$1+INT((Q12-1)/Inputs!$B$7)/((INT((Q$3-1-MOD(Q12-1,Inputs!$B$7))/Inputs!$B$7)+1)-1)*((ROUND(J$2*1440-J$3*60,0)/1440)-J$1))*96,0)/96)))))))</f>
        <v>0.364583333333333</v>
      </c>
      <c r="Y12" s="18" t="n">
        <f aca="false">IF(K12=0,0,IF(Inputs!$D29="Open",K$1,IF(Inputs!$D29="Close",ROUND(K$2*1440-K$3*60,0)/1440,IF(OR(INT((R12-1)/Inputs!$B$7)=0,(INT((R$3-1-MOD(R12-1,Inputs!$B$7))/Inputs!$B$7)+1)&lt;=1),K$1,IF(INT((R12-1)/Inputs!$B$7)&gt;=(INT((R$3-1-MOD(R12-1,Inputs!$B$7))/Inputs!$B$7)+1)-1,ROUND(K$2*1440-K$3*60,0)/1440,MAX(K$1,MIN(ROUND(K$2*1440-K$3*60,0)/1440,ROUND((K$1+INT((R12-1)/Inputs!$B$7)/((INT((R$3-1-MOD(R12-1,Inputs!$B$7))/Inputs!$B$7)+1)-1)*((ROUND(K$2*1440-K$3*60,0)/1440)-K$1))*96,0)/96)))))))</f>
        <v>0.364583333333333</v>
      </c>
      <c r="Z12" s="18" t="n">
        <f aca="false">IF(L12=0,0,IF(Inputs!$D29="Open",L$1,IF(Inputs!$D29="Close",ROUND(L$2*1440-L$3*60,0)/1440,IF(OR(INT((S12-1)/Inputs!$B$7)=0,(INT((S$3-1-MOD(S12-1,Inputs!$B$7))/Inputs!$B$7)+1)&lt;=1),L$1,IF(INT((S12-1)/Inputs!$B$7)&gt;=(INT((S$3-1-MOD(S12-1,Inputs!$B$7))/Inputs!$B$7)+1)-1,ROUND(L$2*1440-L$3*60,0)/1440,MAX(L$1,MIN(ROUND(L$2*1440-L$3*60,0)/1440,ROUND((L$1+INT((S12-1)/Inputs!$B$7)/((INT((S$3-1-MOD(S12-1,Inputs!$B$7))/Inputs!$B$7)+1)-1)*((ROUND(L$2*1440-L$3*60,0)/1440)-L$1))*96,0)/96)))))))</f>
        <v>0.385416666666667</v>
      </c>
      <c r="AA12" s="18" t="n">
        <f aca="false">IF(F12=0,0,ROUND(T12*1440+F$3*60,0)/1440)</f>
        <v>0.71875</v>
      </c>
      <c r="AB12" s="18" t="n">
        <f aca="false">IF(G12=0,0,ROUND(U12*1440+G$3*60,0)/1440)</f>
        <v>0</v>
      </c>
      <c r="AC12" s="18" t="n">
        <f aca="false">IF(H12=0,0,ROUND(V12*1440+H$3*60,0)/1440)</f>
        <v>0</v>
      </c>
      <c r="AD12" s="18" t="n">
        <f aca="false">IF(I12=0,0,ROUND(W12*1440+I$3*60,0)/1440)</f>
        <v>0.71875</v>
      </c>
      <c r="AE12" s="18" t="n">
        <f aca="false">IF(J12=0,0,ROUND(X12*1440+J$3*60,0)/1440)</f>
        <v>0.71875</v>
      </c>
      <c r="AF12" s="18" t="n">
        <f aca="false">IF(K12=0,0,ROUND(Y12*1440+K$3*60,0)/1440)</f>
        <v>0.71875</v>
      </c>
      <c r="AG12" s="18" t="n">
        <f aca="false">IF(L12=0,0,ROUND(Z12*1440+L$3*60,0)/1440)</f>
        <v>0.739583333333333</v>
      </c>
      <c r="AH12" s="19" t="n">
        <f aca="false">SUMPRODUCT((MOD(AO$1:AU$1-0,7)&lt;Inputs!$B$6)*AO$2:AU$2*(AO11:AU11+1))*100+MOD(0-5,7)</f>
        <v>1202</v>
      </c>
      <c r="AI12" s="19" t="n">
        <f aca="false">SUMPRODUCT((MOD(AO$1:AU$1-1,7)&lt;Inputs!$B$6)*AO$2:AU$2*(AO11:AU11+1))*100+MOD(1-5,7)</f>
        <v>1003</v>
      </c>
      <c r="AJ12" s="19" t="n">
        <f aca="false">SUMPRODUCT((MOD(AO$1:AU$1-2,7)&lt;Inputs!$B$6)*AO$2:AU$2*(AO11:AU11+1))*100+MOD(2-5,7)</f>
        <v>1004</v>
      </c>
      <c r="AK12" s="19" t="n">
        <f aca="false">SUMPRODUCT((MOD(AO$1:AU$1-3,7)&lt;Inputs!$B$6)*AO$2:AU$2*(AO11:AU11+1))*100+MOD(3-5,7)</f>
        <v>1005</v>
      </c>
      <c r="AL12" s="19" t="n">
        <f aca="false">SUMPRODUCT((MOD(AO$1:AU$1-4,7)&lt;Inputs!$B$6)*AO$2:AU$2*(AO11:AU11+1))*100+MOD(4-5,7)</f>
        <v>1006</v>
      </c>
      <c r="AM12" s="19" t="n">
        <f aca="false">SUMPRODUCT((MOD(AO$1:AU$1-5,7)&lt;Inputs!$B$6)*AO$2:AU$2*(AO11:AU11+1))*100+MOD(5-5,7)</f>
        <v>1200</v>
      </c>
      <c r="AN12" s="19" t="n">
        <f aca="false">SUMPRODUCT((MOD(AO$1:AU$1-6,7)&lt;Inputs!$B$6)*AO$2:AU$2*(AO11:AU11+1))*100+MOD(6-5,7)</f>
        <v>1201</v>
      </c>
      <c r="AO12" s="19" t="n">
        <f aca="false">AO11+IF($B12=1,IF(MOD(0-$D12,7)&lt;Inputs!$B$6,1,0),0)</f>
        <v>2</v>
      </c>
      <c r="AP12" s="19" t="n">
        <f aca="false">AP11+IF($B12=1,IF(MOD(1-$D12,7)&lt;Inputs!$B$6,1,0),0)</f>
        <v>3</v>
      </c>
      <c r="AQ12" s="19" t="n">
        <f aca="false">AQ11+IF($B12=1,IF(MOD(2-$D12,7)&lt;Inputs!$B$6,1,0),0)</f>
        <v>2</v>
      </c>
      <c r="AR12" s="19" t="n">
        <f aca="false">AR11+IF($B12=1,IF(MOD(3-$D12,7)&lt;Inputs!$B$6,1,0),0)</f>
        <v>2</v>
      </c>
      <c r="AS12" s="19" t="n">
        <f aca="false">AS11+IF($B12=1,IF(MOD(4-$D12,7)&lt;Inputs!$B$6,1,0),0)</f>
        <v>1</v>
      </c>
      <c r="AT12" s="19" t="n">
        <f aca="false">AT11+IF($B12=1,IF(MOD(5-$D12,7)&lt;Inputs!$B$6,1,0),0)</f>
        <v>2</v>
      </c>
      <c r="AU12" s="19" t="n">
        <f aca="false">AU11+IF($B12=1,IF(MOD(6-$D12,7)&lt;Inputs!$B$6,1,0),0)</f>
        <v>2</v>
      </c>
    </row>
    <row r="13" customFormat="false" ht="15" hidden="false" customHeight="false" outlineLevel="0" collapsed="false">
      <c r="A13" s="0" t="n">
        <v>8</v>
      </c>
      <c r="B13" s="0" t="n">
        <f aca="false">IF(A13&lt;=Inputs!$B$3,1,0)</f>
        <v>1</v>
      </c>
      <c r="C13" s="0" t="n">
        <f aca="false">MOD(5+MOD(A13-1,7),7)</f>
        <v>5</v>
      </c>
      <c r="D13" s="0" t="n">
        <f aca="false">IF(Inputs!C30&lt;&gt;"",MATCH(Inputs!C30,Inputs!$A$11:$A$17,0)-1,IF(B13=0,0,MATCH(MIN(AH13:AN13),AH13:AN13,0)-1))</f>
        <v>3</v>
      </c>
      <c r="F13" s="0" t="n">
        <f aca="false">IF(OR($B13=0,F$3=0),0,IF(MOD(0-$D13,7)&lt;Inputs!$B$6,0,1))</f>
        <v>1</v>
      </c>
      <c r="G13" s="0" t="n">
        <f aca="false">IF(OR($B13=0,G$3=0),0,IF(MOD(1-$D13,7)&lt;Inputs!$B$6,0,1))</f>
        <v>1</v>
      </c>
      <c r="H13" s="0" t="n">
        <f aca="false">IF(OR($B13=0,H$3=0),0,IF(MOD(2-$D13,7)&lt;Inputs!$B$6,0,1))</f>
        <v>1</v>
      </c>
      <c r="I13" s="0" t="n">
        <f aca="false">IF(OR($B13=0,I$3=0),0,IF(MOD(3-$D13,7)&lt;Inputs!$B$6,0,1))</f>
        <v>0</v>
      </c>
      <c r="J13" s="0" t="n">
        <f aca="false">IF(OR($B13=0,J$3=0),0,IF(MOD(4-$D13,7)&lt;Inputs!$B$6,0,1))</f>
        <v>0</v>
      </c>
      <c r="K13" s="0" t="n">
        <f aca="false">IF(OR($B13=0,K$3=0),0,IF(MOD(5-$D13,7)&lt;Inputs!$B$6,0,1))</f>
        <v>1</v>
      </c>
      <c r="L13" s="0" t="n">
        <f aca="false">IF(OR($B13=0,L$3=0),0,IF(MOD(6-$D13,7)&lt;Inputs!$B$6,0,1))</f>
        <v>1</v>
      </c>
      <c r="M13" s="0" t="n">
        <f aca="false">SUM(F$6:F13)</f>
        <v>6</v>
      </c>
      <c r="N13" s="0" t="n">
        <f aca="false">SUM(G$6:G13)</f>
        <v>5</v>
      </c>
      <c r="O13" s="0" t="n">
        <f aca="false">SUM(H$6:H13)</f>
        <v>6</v>
      </c>
      <c r="P13" s="0" t="n">
        <f aca="false">SUM(I$6:I13)</f>
        <v>5</v>
      </c>
      <c r="Q13" s="0" t="n">
        <f aca="false">SUM(J$6:J13)</f>
        <v>6</v>
      </c>
      <c r="R13" s="0" t="n">
        <f aca="false">SUM(K$6:K13)</f>
        <v>6</v>
      </c>
      <c r="S13" s="0" t="n">
        <f aca="false">SUM(L$6:L13)</f>
        <v>6</v>
      </c>
      <c r="T13" s="18" t="n">
        <f aca="false">IF(F13=0,0,IF(Inputs!$D30="Open",F$1,IF(Inputs!$D30="Close",ROUND(F$2*1440-F$3*60,0)/1440,IF(OR(INT((M13-1)/Inputs!$B$7)=0,(INT((M$3-1-MOD(M13-1,Inputs!$B$7))/Inputs!$B$7)+1)&lt;=1),F$1,IF(INT((M13-1)/Inputs!$B$7)&gt;=(INT((M$3-1-MOD(M13-1,Inputs!$B$7))/Inputs!$B$7)+1)-1,ROUND(F$2*1440-F$3*60,0)/1440,MAX(F$1,MIN(ROUND(F$2*1440-F$3*60,0)/1440,ROUND((F$1+INT((M13-1)/Inputs!$B$7)/((INT((M$3-1-MOD(M13-1,Inputs!$B$7))/Inputs!$B$7)+1)-1)*((ROUND(F$2*1440-F$3*60,0)/1440)-F$1))*96,0)/96)))))))</f>
        <v>0.385416666666667</v>
      </c>
      <c r="U13" s="18" t="n">
        <f aca="false">IF(G13=0,0,IF(Inputs!$D30="Open",G$1,IF(Inputs!$D30="Close",ROUND(G$2*1440-G$3*60,0)/1440,IF(OR(INT((N13-1)/Inputs!$B$7)=0,(INT((N$3-1-MOD(N13-1,Inputs!$B$7))/Inputs!$B$7)+1)&lt;=1),G$1,IF(INT((N13-1)/Inputs!$B$7)&gt;=(INT((N$3-1-MOD(N13-1,Inputs!$B$7))/Inputs!$B$7)+1)-1,ROUND(G$2*1440-G$3*60,0)/1440,MAX(G$1,MIN(ROUND(G$2*1440-G$3*60,0)/1440,ROUND((G$1+INT((N13-1)/Inputs!$B$7)/((INT((N$3-1-MOD(N13-1,Inputs!$B$7))/Inputs!$B$7)+1)-1)*((ROUND(G$2*1440-G$3*60,0)/1440)-G$1))*96,0)/96)))))))</f>
        <v>0.364583333333333</v>
      </c>
      <c r="V13" s="18" t="n">
        <f aca="false">IF(H13=0,0,IF(Inputs!$D30="Open",H$1,IF(Inputs!$D30="Close",ROUND(H$2*1440-H$3*60,0)/1440,IF(OR(INT((O13-1)/Inputs!$B$7)=0,(INT((O$3-1-MOD(O13-1,Inputs!$B$7))/Inputs!$B$7)+1)&lt;=1),H$1,IF(INT((O13-1)/Inputs!$B$7)&gt;=(INT((O$3-1-MOD(O13-1,Inputs!$B$7))/Inputs!$B$7)+1)-1,ROUND(H$2*1440-H$3*60,0)/1440,MAX(H$1,MIN(ROUND(H$2*1440-H$3*60,0)/1440,ROUND((H$1+INT((O13-1)/Inputs!$B$7)/((INT((O$3-1-MOD(O13-1,Inputs!$B$7))/Inputs!$B$7)+1)-1)*((ROUND(H$2*1440-H$3*60,0)/1440)-H$1))*96,0)/96)))))))</f>
        <v>0.364583333333333</v>
      </c>
      <c r="W13" s="18" t="n">
        <f aca="false">IF(I13=0,0,IF(Inputs!$D30="Open",I$1,IF(Inputs!$D30="Close",ROUND(I$2*1440-I$3*60,0)/1440,IF(OR(INT((P13-1)/Inputs!$B$7)=0,(INT((P$3-1-MOD(P13-1,Inputs!$B$7))/Inputs!$B$7)+1)&lt;=1),I$1,IF(INT((P13-1)/Inputs!$B$7)&gt;=(INT((P$3-1-MOD(P13-1,Inputs!$B$7))/Inputs!$B$7)+1)-1,ROUND(I$2*1440-I$3*60,0)/1440,MAX(I$1,MIN(ROUND(I$2*1440-I$3*60,0)/1440,ROUND((I$1+INT((P13-1)/Inputs!$B$7)/((INT((P$3-1-MOD(P13-1,Inputs!$B$7))/Inputs!$B$7)+1)-1)*((ROUND(I$2*1440-I$3*60,0)/1440)-I$1))*96,0)/96)))))))</f>
        <v>0</v>
      </c>
      <c r="X13" s="18" t="n">
        <f aca="false">IF(J13=0,0,IF(Inputs!$D30="Open",J$1,IF(Inputs!$D30="Close",ROUND(J$2*1440-J$3*60,0)/1440,IF(OR(INT((Q13-1)/Inputs!$B$7)=0,(INT((Q$3-1-MOD(Q13-1,Inputs!$B$7))/Inputs!$B$7)+1)&lt;=1),J$1,IF(INT((Q13-1)/Inputs!$B$7)&gt;=(INT((Q$3-1-MOD(Q13-1,Inputs!$B$7))/Inputs!$B$7)+1)-1,ROUND(J$2*1440-J$3*60,0)/1440,MAX(J$1,MIN(ROUND(J$2*1440-J$3*60,0)/1440,ROUND((J$1+INT((Q13-1)/Inputs!$B$7)/((INT((Q$3-1-MOD(Q13-1,Inputs!$B$7))/Inputs!$B$7)+1)-1)*((ROUND(J$2*1440-J$3*60,0)/1440)-J$1))*96,0)/96)))))))</f>
        <v>0</v>
      </c>
      <c r="Y13" s="18" t="n">
        <f aca="false">IF(K13=0,0,IF(Inputs!$D30="Open",K$1,IF(Inputs!$D30="Close",ROUND(K$2*1440-K$3*60,0)/1440,IF(OR(INT((R13-1)/Inputs!$B$7)=0,(INT((R$3-1-MOD(R13-1,Inputs!$B$7))/Inputs!$B$7)+1)&lt;=1),K$1,IF(INT((R13-1)/Inputs!$B$7)&gt;=(INT((R$3-1-MOD(R13-1,Inputs!$B$7))/Inputs!$B$7)+1)-1,ROUND(K$2*1440-K$3*60,0)/1440,MAX(K$1,MIN(ROUND(K$2*1440-K$3*60,0)/1440,ROUND((K$1+INT((R13-1)/Inputs!$B$7)/((INT((R$3-1-MOD(R13-1,Inputs!$B$7))/Inputs!$B$7)+1)-1)*((ROUND(K$2*1440-K$3*60,0)/1440)-K$1))*96,0)/96)))))))</f>
        <v>0.385416666666667</v>
      </c>
      <c r="Z13" s="18" t="n">
        <f aca="false">IF(L13=0,0,IF(Inputs!$D30="Open",L$1,IF(Inputs!$D30="Close",ROUND(L$2*1440-L$3*60,0)/1440,IF(OR(INT((S13-1)/Inputs!$B$7)=0,(INT((S$3-1-MOD(S13-1,Inputs!$B$7))/Inputs!$B$7)+1)&lt;=1),L$1,IF(INT((S13-1)/Inputs!$B$7)&gt;=(INT((S$3-1-MOD(S13-1,Inputs!$B$7))/Inputs!$B$7)+1)-1,ROUND(L$2*1440-L$3*60,0)/1440,MAX(L$1,MIN(ROUND(L$2*1440-L$3*60,0)/1440,ROUND((L$1+INT((S13-1)/Inputs!$B$7)/((INT((S$3-1-MOD(S13-1,Inputs!$B$7))/Inputs!$B$7)+1)-1)*((ROUND(L$2*1440-L$3*60,0)/1440)-L$1))*96,0)/96)))))))</f>
        <v>0.416666666666667</v>
      </c>
      <c r="AA13" s="18" t="n">
        <f aca="false">IF(F13=0,0,ROUND(T13*1440+F$3*60,0)/1440)</f>
        <v>0.739583333333333</v>
      </c>
      <c r="AB13" s="18" t="n">
        <f aca="false">IF(G13=0,0,ROUND(U13*1440+G$3*60,0)/1440)</f>
        <v>0.71875</v>
      </c>
      <c r="AC13" s="18" t="n">
        <f aca="false">IF(H13=0,0,ROUND(V13*1440+H$3*60,0)/1440)</f>
        <v>0.71875</v>
      </c>
      <c r="AD13" s="18" t="n">
        <f aca="false">IF(I13=0,0,ROUND(W13*1440+I$3*60,0)/1440)</f>
        <v>0</v>
      </c>
      <c r="AE13" s="18" t="n">
        <f aca="false">IF(J13=0,0,ROUND(X13*1440+J$3*60,0)/1440)</f>
        <v>0</v>
      </c>
      <c r="AF13" s="18" t="n">
        <f aca="false">IF(K13=0,0,ROUND(Y13*1440+K$3*60,0)/1440)</f>
        <v>0.739583333333333</v>
      </c>
      <c r="AG13" s="18" t="n">
        <f aca="false">IF(L13=0,0,ROUND(Z13*1440+L$3*60,0)/1440)</f>
        <v>0.770833333333333</v>
      </c>
      <c r="AH13" s="19" t="n">
        <f aca="false">SUMPRODUCT((MOD(AO$1:AU$1-0,7)&lt;Inputs!$B$6)*AO$2:AU$2*(AO12:AU12+1))*100+MOD(0-5,7)</f>
        <v>1402</v>
      </c>
      <c r="AI13" s="19" t="n">
        <f aca="false">SUMPRODUCT((MOD(AO$1:AU$1-1,7)&lt;Inputs!$B$6)*AO$2:AU$2*(AO12:AU12+1))*100+MOD(1-5,7)</f>
        <v>1403</v>
      </c>
      <c r="AJ13" s="19" t="n">
        <f aca="false">SUMPRODUCT((MOD(AO$1:AU$1-2,7)&lt;Inputs!$B$6)*AO$2:AU$2*(AO12:AU12+1))*100+MOD(2-5,7)</f>
        <v>1204</v>
      </c>
      <c r="AK13" s="19" t="n">
        <f aca="false">SUMPRODUCT((MOD(AO$1:AU$1-3,7)&lt;Inputs!$B$6)*AO$2:AU$2*(AO12:AU12+1))*100+MOD(3-5,7)</f>
        <v>1005</v>
      </c>
      <c r="AL13" s="19" t="n">
        <f aca="false">SUMPRODUCT((MOD(AO$1:AU$1-4,7)&lt;Inputs!$B$6)*AO$2:AU$2*(AO12:AU12+1))*100+MOD(4-5,7)</f>
        <v>1006</v>
      </c>
      <c r="AM13" s="19" t="n">
        <f aca="false">SUMPRODUCT((MOD(AO$1:AU$1-5,7)&lt;Inputs!$B$6)*AO$2:AU$2*(AO12:AU12+1))*100+MOD(5-5,7)</f>
        <v>1200</v>
      </c>
      <c r="AN13" s="19" t="n">
        <f aca="false">SUMPRODUCT((MOD(AO$1:AU$1-6,7)&lt;Inputs!$B$6)*AO$2:AU$2*(AO12:AU12+1))*100+MOD(6-5,7)</f>
        <v>1201</v>
      </c>
      <c r="AO13" s="19" t="n">
        <f aca="false">AO12+IF($B13=1,IF(MOD(0-$D13,7)&lt;Inputs!$B$6,1,0),0)</f>
        <v>2</v>
      </c>
      <c r="AP13" s="19" t="n">
        <f aca="false">AP12+IF($B13=1,IF(MOD(1-$D13,7)&lt;Inputs!$B$6,1,0),0)</f>
        <v>3</v>
      </c>
      <c r="AQ13" s="19" t="n">
        <f aca="false">AQ12+IF($B13=1,IF(MOD(2-$D13,7)&lt;Inputs!$B$6,1,0),0)</f>
        <v>2</v>
      </c>
      <c r="AR13" s="19" t="n">
        <f aca="false">AR12+IF($B13=1,IF(MOD(3-$D13,7)&lt;Inputs!$B$6,1,0),0)</f>
        <v>3</v>
      </c>
      <c r="AS13" s="19" t="n">
        <f aca="false">AS12+IF($B13=1,IF(MOD(4-$D13,7)&lt;Inputs!$B$6,1,0),0)</f>
        <v>2</v>
      </c>
      <c r="AT13" s="19" t="n">
        <f aca="false">AT12+IF($B13=1,IF(MOD(5-$D13,7)&lt;Inputs!$B$6,1,0),0)</f>
        <v>2</v>
      </c>
      <c r="AU13" s="19" t="n">
        <f aca="false">AU12+IF($B13=1,IF(MOD(6-$D13,7)&lt;Inputs!$B$6,1,0),0)</f>
        <v>2</v>
      </c>
    </row>
    <row r="14" customFormat="false" ht="15" hidden="false" customHeight="false" outlineLevel="0" collapsed="false">
      <c r="A14" s="0" t="n">
        <v>9</v>
      </c>
      <c r="B14" s="0" t="n">
        <f aca="false">IF(A14&lt;=Inputs!$B$3,1,0)</f>
        <v>1</v>
      </c>
      <c r="C14" s="0" t="n">
        <f aca="false">MOD(5+MOD(A14-1,7),7)</f>
        <v>6</v>
      </c>
      <c r="D14" s="0" t="n">
        <f aca="false">IF(Inputs!C31&lt;&gt;"",MATCH(Inputs!C31,Inputs!$A$11:$A$17,0)-1,IF(B14=0,0,MATCH(MIN(AH14:AN14),AH14:AN14,0)-1))</f>
        <v>5</v>
      </c>
      <c r="F14" s="0" t="n">
        <f aca="false">IF(OR($B14=0,F$3=0),0,IF(MOD(0-$D14,7)&lt;Inputs!$B$6,0,1))</f>
        <v>1</v>
      </c>
      <c r="G14" s="0" t="n">
        <f aca="false">IF(OR($B14=0,G$3=0),0,IF(MOD(1-$D14,7)&lt;Inputs!$B$6,0,1))</f>
        <v>1</v>
      </c>
      <c r="H14" s="0" t="n">
        <f aca="false">IF(OR($B14=0,H$3=0),0,IF(MOD(2-$D14,7)&lt;Inputs!$B$6,0,1))</f>
        <v>1</v>
      </c>
      <c r="I14" s="0" t="n">
        <f aca="false">IF(OR($B14=0,I$3=0),0,IF(MOD(3-$D14,7)&lt;Inputs!$B$6,0,1))</f>
        <v>1</v>
      </c>
      <c r="J14" s="0" t="n">
        <f aca="false">IF(OR($B14=0,J$3=0),0,IF(MOD(4-$D14,7)&lt;Inputs!$B$6,0,1))</f>
        <v>1</v>
      </c>
      <c r="K14" s="0" t="n">
        <f aca="false">IF(OR($B14=0,K$3=0),0,IF(MOD(5-$D14,7)&lt;Inputs!$B$6,0,1))</f>
        <v>0</v>
      </c>
      <c r="L14" s="0" t="n">
        <f aca="false">IF(OR($B14=0,L$3=0),0,IF(MOD(6-$D14,7)&lt;Inputs!$B$6,0,1))</f>
        <v>0</v>
      </c>
      <c r="M14" s="0" t="n">
        <f aca="false">SUM(F$6:F14)</f>
        <v>7</v>
      </c>
      <c r="N14" s="0" t="n">
        <f aca="false">SUM(G$6:G14)</f>
        <v>6</v>
      </c>
      <c r="O14" s="0" t="n">
        <f aca="false">SUM(H$6:H14)</f>
        <v>7</v>
      </c>
      <c r="P14" s="0" t="n">
        <f aca="false">SUM(I$6:I14)</f>
        <v>6</v>
      </c>
      <c r="Q14" s="0" t="n">
        <f aca="false">SUM(J$6:J14)</f>
        <v>7</v>
      </c>
      <c r="R14" s="0" t="n">
        <f aca="false">SUM(K$6:K14)</f>
        <v>6</v>
      </c>
      <c r="S14" s="0" t="n">
        <f aca="false">SUM(L$6:L14)</f>
        <v>6</v>
      </c>
      <c r="T14" s="18" t="n">
        <f aca="false">IF(F14=0,0,IF(Inputs!$D31="Open",F$1,IF(Inputs!$D31="Close",ROUND(F$2*1440-F$3*60,0)/1440,IF(OR(INT((M14-1)/Inputs!$B$7)=0,(INT((M$3-1-MOD(M14-1,Inputs!$B$7))/Inputs!$B$7)+1)&lt;=1),F$1,IF(INT((M14-1)/Inputs!$B$7)&gt;=(INT((M$3-1-MOD(M14-1,Inputs!$B$7))/Inputs!$B$7)+1)-1,ROUND(F$2*1440-F$3*60,0)/1440,MAX(F$1,MIN(ROUND(F$2*1440-F$3*60,0)/1440,ROUND((F$1+INT((M14-1)/Inputs!$B$7)/((INT((M$3-1-MOD(M14-1,Inputs!$B$7))/Inputs!$B$7)+1)-1)*((ROUND(F$2*1440-F$3*60,0)/1440)-F$1))*96,0)/96)))))))</f>
        <v>0.416666666666667</v>
      </c>
      <c r="U14" s="18" t="n">
        <f aca="false">IF(G14=0,0,IF(Inputs!$D31="Open",G$1,IF(Inputs!$D31="Close",ROUND(G$2*1440-G$3*60,0)/1440,IF(OR(INT((N14-1)/Inputs!$B$7)=0,(INT((N$3-1-MOD(N14-1,Inputs!$B$7))/Inputs!$B$7)+1)&lt;=1),G$1,IF(INT((N14-1)/Inputs!$B$7)&gt;=(INT((N$3-1-MOD(N14-1,Inputs!$B$7))/Inputs!$B$7)+1)-1,ROUND(G$2*1440-G$3*60,0)/1440,MAX(G$1,MIN(ROUND(G$2*1440-G$3*60,0)/1440,ROUND((G$1+INT((N14-1)/Inputs!$B$7)/((INT((N$3-1-MOD(N14-1,Inputs!$B$7))/Inputs!$B$7)+1)-1)*((ROUND(G$2*1440-G$3*60,0)/1440)-G$1))*96,0)/96)))))))</f>
        <v>0.385416666666667</v>
      </c>
      <c r="V14" s="18" t="n">
        <f aca="false">IF(H14=0,0,IF(Inputs!$D31="Open",H$1,IF(Inputs!$D31="Close",ROUND(H$2*1440-H$3*60,0)/1440,IF(OR(INT((O14-1)/Inputs!$B$7)=0,(INT((O$3-1-MOD(O14-1,Inputs!$B$7))/Inputs!$B$7)+1)&lt;=1),H$1,IF(INT((O14-1)/Inputs!$B$7)&gt;=(INT((O$3-1-MOD(O14-1,Inputs!$B$7))/Inputs!$B$7)+1)-1,ROUND(H$2*1440-H$3*60,0)/1440,MAX(H$1,MIN(ROUND(H$2*1440-H$3*60,0)/1440,ROUND((H$1+INT((O14-1)/Inputs!$B$7)/((INT((O$3-1-MOD(O14-1,Inputs!$B$7))/Inputs!$B$7)+1)-1)*((ROUND(H$2*1440-H$3*60,0)/1440)-H$1))*96,0)/96)))))))</f>
        <v>0.395833333333333</v>
      </c>
      <c r="W14" s="18" t="n">
        <f aca="false">IF(I14=0,0,IF(Inputs!$D31="Open",I$1,IF(Inputs!$D31="Close",ROUND(I$2*1440-I$3*60,0)/1440,IF(OR(INT((P14-1)/Inputs!$B$7)=0,(INT((P$3-1-MOD(P14-1,Inputs!$B$7))/Inputs!$B$7)+1)&lt;=1),I$1,IF(INT((P14-1)/Inputs!$B$7)&gt;=(INT((P$3-1-MOD(P14-1,Inputs!$B$7))/Inputs!$B$7)+1)-1,ROUND(I$2*1440-I$3*60,0)/1440,MAX(I$1,MIN(ROUND(I$2*1440-I$3*60,0)/1440,ROUND((I$1+INT((P14-1)/Inputs!$B$7)/((INT((P$3-1-MOD(P14-1,Inputs!$B$7))/Inputs!$B$7)+1)-1)*((ROUND(I$2*1440-I$3*60,0)/1440)-I$1))*96,0)/96)))))))</f>
        <v>0.385416666666667</v>
      </c>
      <c r="X14" s="18" t="n">
        <f aca="false">IF(J14=0,0,IF(Inputs!$D31="Open",J$1,IF(Inputs!$D31="Close",ROUND(J$2*1440-J$3*60,0)/1440,IF(OR(INT((Q14-1)/Inputs!$B$7)=0,(INT((Q$3-1-MOD(Q14-1,Inputs!$B$7))/Inputs!$B$7)+1)&lt;=1),J$1,IF(INT((Q14-1)/Inputs!$B$7)&gt;=(INT((Q$3-1-MOD(Q14-1,Inputs!$B$7))/Inputs!$B$7)+1)-1,ROUND(J$2*1440-J$3*60,0)/1440,MAX(J$1,MIN(ROUND(J$2*1440-J$3*60,0)/1440,ROUND((J$1+INT((Q14-1)/Inputs!$B$7)/((INT((Q$3-1-MOD(Q14-1,Inputs!$B$7))/Inputs!$B$7)+1)-1)*((ROUND(J$2*1440-J$3*60,0)/1440)-J$1))*96,0)/96)))))))</f>
        <v>0.395833333333333</v>
      </c>
      <c r="Y14" s="18" t="n">
        <f aca="false">IF(K14=0,0,IF(Inputs!$D31="Open",K$1,IF(Inputs!$D31="Close",ROUND(K$2*1440-K$3*60,0)/1440,IF(OR(INT((R14-1)/Inputs!$B$7)=0,(INT((R$3-1-MOD(R14-1,Inputs!$B$7))/Inputs!$B$7)+1)&lt;=1),K$1,IF(INT((R14-1)/Inputs!$B$7)&gt;=(INT((R$3-1-MOD(R14-1,Inputs!$B$7))/Inputs!$B$7)+1)-1,ROUND(K$2*1440-K$3*60,0)/1440,MAX(K$1,MIN(ROUND(K$2*1440-K$3*60,0)/1440,ROUND((K$1+INT((R14-1)/Inputs!$B$7)/((INT((R$3-1-MOD(R14-1,Inputs!$B$7))/Inputs!$B$7)+1)-1)*((ROUND(K$2*1440-K$3*60,0)/1440)-K$1))*96,0)/96)))))))</f>
        <v>0</v>
      </c>
      <c r="Z14" s="18" t="n">
        <f aca="false">IF(L14=0,0,IF(Inputs!$D31="Open",L$1,IF(Inputs!$D31="Close",ROUND(L$2*1440-L$3*60,0)/1440,IF(OR(INT((S14-1)/Inputs!$B$7)=0,(INT((S$3-1-MOD(S14-1,Inputs!$B$7))/Inputs!$B$7)+1)&lt;=1),L$1,IF(INT((S14-1)/Inputs!$B$7)&gt;=(INT((S$3-1-MOD(S14-1,Inputs!$B$7))/Inputs!$B$7)+1)-1,ROUND(L$2*1440-L$3*60,0)/1440,MAX(L$1,MIN(ROUND(L$2*1440-L$3*60,0)/1440,ROUND((L$1+INT((S14-1)/Inputs!$B$7)/((INT((S$3-1-MOD(S14-1,Inputs!$B$7))/Inputs!$B$7)+1)-1)*((ROUND(L$2*1440-L$3*60,0)/1440)-L$1))*96,0)/96)))))))</f>
        <v>0</v>
      </c>
      <c r="AA14" s="18" t="n">
        <f aca="false">IF(F14=0,0,ROUND(T14*1440+F$3*60,0)/1440)</f>
        <v>0.770833333333333</v>
      </c>
      <c r="AB14" s="18" t="n">
        <f aca="false">IF(G14=0,0,ROUND(U14*1440+G$3*60,0)/1440)</f>
        <v>0.739583333333333</v>
      </c>
      <c r="AC14" s="18" t="n">
        <f aca="false">IF(H14=0,0,ROUND(V14*1440+H$3*60,0)/1440)</f>
        <v>0.75</v>
      </c>
      <c r="AD14" s="18" t="n">
        <f aca="false">IF(I14=0,0,ROUND(W14*1440+I$3*60,0)/1440)</f>
        <v>0.739583333333333</v>
      </c>
      <c r="AE14" s="18" t="n">
        <f aca="false">IF(J14=0,0,ROUND(X14*1440+J$3*60,0)/1440)</f>
        <v>0.75</v>
      </c>
      <c r="AF14" s="18" t="n">
        <f aca="false">IF(K14=0,0,ROUND(Y14*1440+K$3*60,0)/1440)</f>
        <v>0</v>
      </c>
      <c r="AG14" s="18" t="n">
        <f aca="false">IF(L14=0,0,ROUND(Z14*1440+L$3*60,0)/1440)</f>
        <v>0</v>
      </c>
      <c r="AH14" s="19" t="n">
        <f aca="false">SUMPRODUCT((MOD(AO$1:AU$1-0,7)&lt;Inputs!$B$6)*AO$2:AU$2*(AO13:AU13+1))*100+MOD(0-5,7)</f>
        <v>1402</v>
      </c>
      <c r="AI14" s="19" t="n">
        <f aca="false">SUMPRODUCT((MOD(AO$1:AU$1-1,7)&lt;Inputs!$B$6)*AO$2:AU$2*(AO13:AU13+1))*100+MOD(1-5,7)</f>
        <v>1403</v>
      </c>
      <c r="AJ14" s="19" t="n">
        <f aca="false">SUMPRODUCT((MOD(AO$1:AU$1-2,7)&lt;Inputs!$B$6)*AO$2:AU$2*(AO13:AU13+1))*100+MOD(2-5,7)</f>
        <v>1404</v>
      </c>
      <c r="AK14" s="19" t="n">
        <f aca="false">SUMPRODUCT((MOD(AO$1:AU$1-3,7)&lt;Inputs!$B$6)*AO$2:AU$2*(AO13:AU13+1))*100+MOD(3-5,7)</f>
        <v>1405</v>
      </c>
      <c r="AL14" s="19" t="n">
        <f aca="false">SUMPRODUCT((MOD(AO$1:AU$1-4,7)&lt;Inputs!$B$6)*AO$2:AU$2*(AO13:AU13+1))*100+MOD(4-5,7)</f>
        <v>1206</v>
      </c>
      <c r="AM14" s="19" t="n">
        <f aca="false">SUMPRODUCT((MOD(AO$1:AU$1-5,7)&lt;Inputs!$B$6)*AO$2:AU$2*(AO13:AU13+1))*100+MOD(5-5,7)</f>
        <v>1200</v>
      </c>
      <c r="AN14" s="19" t="n">
        <f aca="false">SUMPRODUCT((MOD(AO$1:AU$1-6,7)&lt;Inputs!$B$6)*AO$2:AU$2*(AO13:AU13+1))*100+MOD(6-5,7)</f>
        <v>1201</v>
      </c>
      <c r="AO14" s="19" t="n">
        <f aca="false">AO13+IF($B14=1,IF(MOD(0-$D14,7)&lt;Inputs!$B$6,1,0),0)</f>
        <v>2</v>
      </c>
      <c r="AP14" s="19" t="n">
        <f aca="false">AP13+IF($B14=1,IF(MOD(1-$D14,7)&lt;Inputs!$B$6,1,0),0)</f>
        <v>3</v>
      </c>
      <c r="AQ14" s="19" t="n">
        <f aca="false">AQ13+IF($B14=1,IF(MOD(2-$D14,7)&lt;Inputs!$B$6,1,0),0)</f>
        <v>2</v>
      </c>
      <c r="AR14" s="19" t="n">
        <f aca="false">AR13+IF($B14=1,IF(MOD(3-$D14,7)&lt;Inputs!$B$6,1,0),0)</f>
        <v>3</v>
      </c>
      <c r="AS14" s="19" t="n">
        <f aca="false">AS13+IF($B14=1,IF(MOD(4-$D14,7)&lt;Inputs!$B$6,1,0),0)</f>
        <v>2</v>
      </c>
      <c r="AT14" s="19" t="n">
        <f aca="false">AT13+IF($B14=1,IF(MOD(5-$D14,7)&lt;Inputs!$B$6,1,0),0)</f>
        <v>3</v>
      </c>
      <c r="AU14" s="19" t="n">
        <f aca="false">AU13+IF($B14=1,IF(MOD(6-$D14,7)&lt;Inputs!$B$6,1,0),0)</f>
        <v>3</v>
      </c>
    </row>
    <row r="15" customFormat="false" ht="15" hidden="false" customHeight="false" outlineLevel="0" collapsed="false">
      <c r="A15" s="0" t="n">
        <v>10</v>
      </c>
      <c r="B15" s="0" t="n">
        <f aca="false">IF(A15&lt;=Inputs!$B$3,1,0)</f>
        <v>1</v>
      </c>
      <c r="C15" s="0" t="n">
        <f aca="false">MOD(5+MOD(A15-1,7),7)</f>
        <v>0</v>
      </c>
      <c r="D15" s="0" t="n">
        <f aca="false">IF(Inputs!C32&lt;&gt;"",MATCH(Inputs!C32,Inputs!$A$11:$A$17,0)-1,IF(B15=0,0,MATCH(MIN(AH15:AN15),AH15:AN15,0)-1))</f>
        <v>6</v>
      </c>
      <c r="F15" s="0" t="n">
        <f aca="false">IF(OR($B15=0,F$3=0),0,IF(MOD(0-$D15,7)&lt;Inputs!$B$6,0,1))</f>
        <v>0</v>
      </c>
      <c r="G15" s="0" t="n">
        <f aca="false">IF(OR($B15=0,G$3=0),0,IF(MOD(1-$D15,7)&lt;Inputs!$B$6,0,1))</f>
        <v>1</v>
      </c>
      <c r="H15" s="0" t="n">
        <f aca="false">IF(OR($B15=0,H$3=0),0,IF(MOD(2-$D15,7)&lt;Inputs!$B$6,0,1))</f>
        <v>1</v>
      </c>
      <c r="I15" s="0" t="n">
        <f aca="false">IF(OR($B15=0,I$3=0),0,IF(MOD(3-$D15,7)&lt;Inputs!$B$6,0,1))</f>
        <v>1</v>
      </c>
      <c r="J15" s="0" t="n">
        <f aca="false">IF(OR($B15=0,J$3=0),0,IF(MOD(4-$D15,7)&lt;Inputs!$B$6,0,1))</f>
        <v>1</v>
      </c>
      <c r="K15" s="0" t="n">
        <f aca="false">IF(OR($B15=0,K$3=0),0,IF(MOD(5-$D15,7)&lt;Inputs!$B$6,0,1))</f>
        <v>1</v>
      </c>
      <c r="L15" s="0" t="n">
        <f aca="false">IF(OR($B15=0,L$3=0),0,IF(MOD(6-$D15,7)&lt;Inputs!$B$6,0,1))</f>
        <v>0</v>
      </c>
      <c r="M15" s="0" t="n">
        <f aca="false">SUM(F$6:F15)</f>
        <v>7</v>
      </c>
      <c r="N15" s="0" t="n">
        <f aca="false">SUM(G$6:G15)</f>
        <v>7</v>
      </c>
      <c r="O15" s="0" t="n">
        <f aca="false">SUM(H$6:H15)</f>
        <v>8</v>
      </c>
      <c r="P15" s="0" t="n">
        <f aca="false">SUM(I$6:I15)</f>
        <v>7</v>
      </c>
      <c r="Q15" s="0" t="n">
        <f aca="false">SUM(J$6:J15)</f>
        <v>8</v>
      </c>
      <c r="R15" s="0" t="n">
        <f aca="false">SUM(K$6:K15)</f>
        <v>7</v>
      </c>
      <c r="S15" s="0" t="n">
        <f aca="false">SUM(L$6:L15)</f>
        <v>6</v>
      </c>
      <c r="T15" s="18" t="n">
        <f aca="false">IF(F15=0,0,IF(Inputs!$D32="Open",F$1,IF(Inputs!$D32="Close",ROUND(F$2*1440-F$3*60,0)/1440,IF(OR(INT((M15-1)/Inputs!$B$7)=0,(INT((M$3-1-MOD(M15-1,Inputs!$B$7))/Inputs!$B$7)+1)&lt;=1),F$1,IF(INT((M15-1)/Inputs!$B$7)&gt;=(INT((M$3-1-MOD(M15-1,Inputs!$B$7))/Inputs!$B$7)+1)-1,ROUND(F$2*1440-F$3*60,0)/1440,MAX(F$1,MIN(ROUND(F$2*1440-F$3*60,0)/1440,ROUND((F$1+INT((M15-1)/Inputs!$B$7)/((INT((M$3-1-MOD(M15-1,Inputs!$B$7))/Inputs!$B$7)+1)-1)*((ROUND(F$2*1440-F$3*60,0)/1440)-F$1))*96,0)/96)))))))</f>
        <v>0</v>
      </c>
      <c r="U15" s="18" t="n">
        <f aca="false">IF(G15=0,0,IF(Inputs!$D32="Open",G$1,IF(Inputs!$D32="Close",ROUND(G$2*1440-G$3*60,0)/1440,IF(OR(INT((N15-1)/Inputs!$B$7)=0,(INT((N$3-1-MOD(N15-1,Inputs!$B$7))/Inputs!$B$7)+1)&lt;=1),G$1,IF(INT((N15-1)/Inputs!$B$7)&gt;=(INT((N$3-1-MOD(N15-1,Inputs!$B$7))/Inputs!$B$7)+1)-1,ROUND(G$2*1440-G$3*60,0)/1440,MAX(G$1,MIN(ROUND(G$2*1440-G$3*60,0)/1440,ROUND((G$1+INT((N15-1)/Inputs!$B$7)/((INT((N$3-1-MOD(N15-1,Inputs!$B$7))/Inputs!$B$7)+1)-1)*((ROUND(G$2*1440-G$3*60,0)/1440)-G$1))*96,0)/96)))))))</f>
        <v>0.416666666666667</v>
      </c>
      <c r="V15" s="18" t="n">
        <f aca="false">IF(H15=0,0,IF(Inputs!$D32="Open",H$1,IF(Inputs!$D32="Close",ROUND(H$2*1440-H$3*60,0)/1440,IF(OR(INT((O15-1)/Inputs!$B$7)=0,(INT((O$3-1-MOD(O15-1,Inputs!$B$7))/Inputs!$B$7)+1)&lt;=1),H$1,IF(INT((O15-1)/Inputs!$B$7)&gt;=(INT((O$3-1-MOD(O15-1,Inputs!$B$7))/Inputs!$B$7)+1)-1,ROUND(H$2*1440-H$3*60,0)/1440,MAX(H$1,MIN(ROUND(H$2*1440-H$3*60,0)/1440,ROUND((H$1+INT((O15-1)/Inputs!$B$7)/((INT((O$3-1-MOD(O15-1,Inputs!$B$7))/Inputs!$B$7)+1)-1)*((ROUND(H$2*1440-H$3*60,0)/1440)-H$1))*96,0)/96)))))))</f>
        <v>0.416666666666667</v>
      </c>
      <c r="W15" s="18" t="n">
        <f aca="false">IF(I15=0,0,IF(Inputs!$D32="Open",I$1,IF(Inputs!$D32="Close",ROUND(I$2*1440-I$3*60,0)/1440,IF(OR(INT((P15-1)/Inputs!$B$7)=0,(INT((P$3-1-MOD(P15-1,Inputs!$B$7))/Inputs!$B$7)+1)&lt;=1),I$1,IF(INT((P15-1)/Inputs!$B$7)&gt;=(INT((P$3-1-MOD(P15-1,Inputs!$B$7))/Inputs!$B$7)+1)-1,ROUND(I$2*1440-I$3*60,0)/1440,MAX(I$1,MIN(ROUND(I$2*1440-I$3*60,0)/1440,ROUND((I$1+INT((P15-1)/Inputs!$B$7)/((INT((P$3-1-MOD(P15-1,Inputs!$B$7))/Inputs!$B$7)+1)-1)*((ROUND(I$2*1440-I$3*60,0)/1440)-I$1))*96,0)/96)))))))</f>
        <v>0.416666666666667</v>
      </c>
      <c r="X15" s="18" t="n">
        <f aca="false">IF(J15=0,0,IF(Inputs!$D32="Open",J$1,IF(Inputs!$D32="Close",ROUND(J$2*1440-J$3*60,0)/1440,IF(OR(INT((Q15-1)/Inputs!$B$7)=0,(INT((Q$3-1-MOD(Q15-1,Inputs!$B$7))/Inputs!$B$7)+1)&lt;=1),J$1,IF(INT((Q15-1)/Inputs!$B$7)&gt;=(INT((Q$3-1-MOD(Q15-1,Inputs!$B$7))/Inputs!$B$7)+1)-1,ROUND(J$2*1440-J$3*60,0)/1440,MAX(J$1,MIN(ROUND(J$2*1440-J$3*60,0)/1440,ROUND((J$1+INT((Q15-1)/Inputs!$B$7)/((INT((Q$3-1-MOD(Q15-1,Inputs!$B$7))/Inputs!$B$7)+1)-1)*((ROUND(J$2*1440-J$3*60,0)/1440)-J$1))*96,0)/96)))))))</f>
        <v>0.416666666666667</v>
      </c>
      <c r="Y15" s="18" t="n">
        <f aca="false">IF(K15=0,0,IF(Inputs!$D32="Open",K$1,IF(Inputs!$D32="Close",ROUND(K$2*1440-K$3*60,0)/1440,IF(OR(INT((R15-1)/Inputs!$B$7)=0,(INT((R$3-1-MOD(R15-1,Inputs!$B$7))/Inputs!$B$7)+1)&lt;=1),K$1,IF(INT((R15-1)/Inputs!$B$7)&gt;=(INT((R$3-1-MOD(R15-1,Inputs!$B$7))/Inputs!$B$7)+1)-1,ROUND(K$2*1440-K$3*60,0)/1440,MAX(K$1,MIN(ROUND(K$2*1440-K$3*60,0)/1440,ROUND((K$1+INT((R15-1)/Inputs!$B$7)/((INT((R$3-1-MOD(R15-1,Inputs!$B$7))/Inputs!$B$7)+1)-1)*((ROUND(K$2*1440-K$3*60,0)/1440)-K$1))*96,0)/96)))))))</f>
        <v>0.416666666666667</v>
      </c>
      <c r="Z15" s="18" t="n">
        <f aca="false">IF(L15=0,0,IF(Inputs!$D32="Open",L$1,IF(Inputs!$D32="Close",ROUND(L$2*1440-L$3*60,0)/1440,IF(OR(INT((S15-1)/Inputs!$B$7)=0,(INT((S$3-1-MOD(S15-1,Inputs!$B$7))/Inputs!$B$7)+1)&lt;=1),L$1,IF(INT((S15-1)/Inputs!$B$7)&gt;=(INT((S$3-1-MOD(S15-1,Inputs!$B$7))/Inputs!$B$7)+1)-1,ROUND(L$2*1440-L$3*60,0)/1440,MAX(L$1,MIN(ROUND(L$2*1440-L$3*60,0)/1440,ROUND((L$1+INT((S15-1)/Inputs!$B$7)/((INT((S$3-1-MOD(S15-1,Inputs!$B$7))/Inputs!$B$7)+1)-1)*((ROUND(L$2*1440-L$3*60,0)/1440)-L$1))*96,0)/96)))))))</f>
        <v>0</v>
      </c>
      <c r="AA15" s="18" t="n">
        <f aca="false">IF(F15=0,0,ROUND(T15*1440+F$3*60,0)/1440)</f>
        <v>0</v>
      </c>
      <c r="AB15" s="18" t="n">
        <f aca="false">IF(G15=0,0,ROUND(U15*1440+G$3*60,0)/1440)</f>
        <v>0.770833333333333</v>
      </c>
      <c r="AC15" s="18" t="n">
        <f aca="false">IF(H15=0,0,ROUND(V15*1440+H$3*60,0)/1440)</f>
        <v>0.770833333333333</v>
      </c>
      <c r="AD15" s="18" t="n">
        <f aca="false">IF(I15=0,0,ROUND(W15*1440+I$3*60,0)/1440)</f>
        <v>0.770833333333333</v>
      </c>
      <c r="AE15" s="18" t="n">
        <f aca="false">IF(J15=0,0,ROUND(X15*1440+J$3*60,0)/1440)</f>
        <v>0.770833333333333</v>
      </c>
      <c r="AF15" s="18" t="n">
        <f aca="false">IF(K15=0,0,ROUND(Y15*1440+K$3*60,0)/1440)</f>
        <v>0.770833333333333</v>
      </c>
      <c r="AG15" s="18" t="n">
        <f aca="false">IF(L15=0,0,ROUND(Z15*1440+L$3*60,0)/1440)</f>
        <v>0</v>
      </c>
      <c r="AH15" s="19" t="n">
        <f aca="false">SUMPRODUCT((MOD(AO$1:AU$1-0,7)&lt;Inputs!$B$6)*AO$2:AU$2*(AO14:AU14+1))*100+MOD(0-5,7)</f>
        <v>1402</v>
      </c>
      <c r="AI15" s="19" t="n">
        <f aca="false">SUMPRODUCT((MOD(AO$1:AU$1-1,7)&lt;Inputs!$B$6)*AO$2:AU$2*(AO14:AU14+1))*100+MOD(1-5,7)</f>
        <v>1403</v>
      </c>
      <c r="AJ15" s="19" t="n">
        <f aca="false">SUMPRODUCT((MOD(AO$1:AU$1-2,7)&lt;Inputs!$B$6)*AO$2:AU$2*(AO14:AU14+1))*100+MOD(2-5,7)</f>
        <v>1404</v>
      </c>
      <c r="AK15" s="19" t="n">
        <f aca="false">SUMPRODUCT((MOD(AO$1:AU$1-3,7)&lt;Inputs!$B$6)*AO$2:AU$2*(AO14:AU14+1))*100+MOD(3-5,7)</f>
        <v>1405</v>
      </c>
      <c r="AL15" s="19" t="n">
        <f aca="false">SUMPRODUCT((MOD(AO$1:AU$1-4,7)&lt;Inputs!$B$6)*AO$2:AU$2*(AO14:AU14+1))*100+MOD(4-5,7)</f>
        <v>1406</v>
      </c>
      <c r="AM15" s="19" t="n">
        <f aca="false">SUMPRODUCT((MOD(AO$1:AU$1-5,7)&lt;Inputs!$B$6)*AO$2:AU$2*(AO14:AU14+1))*100+MOD(5-5,7)</f>
        <v>1600</v>
      </c>
      <c r="AN15" s="19" t="n">
        <f aca="false">SUMPRODUCT((MOD(AO$1:AU$1-6,7)&lt;Inputs!$B$6)*AO$2:AU$2*(AO14:AU14+1))*100+MOD(6-5,7)</f>
        <v>1401</v>
      </c>
      <c r="AO15" s="19" t="n">
        <f aca="false">AO14+IF($B15=1,IF(MOD(0-$D15,7)&lt;Inputs!$B$6,1,0),0)</f>
        <v>3</v>
      </c>
      <c r="AP15" s="19" t="n">
        <f aca="false">AP14+IF($B15=1,IF(MOD(1-$D15,7)&lt;Inputs!$B$6,1,0),0)</f>
        <v>3</v>
      </c>
      <c r="AQ15" s="19" t="n">
        <f aca="false">AQ14+IF($B15=1,IF(MOD(2-$D15,7)&lt;Inputs!$B$6,1,0),0)</f>
        <v>2</v>
      </c>
      <c r="AR15" s="19" t="n">
        <f aca="false">AR14+IF($B15=1,IF(MOD(3-$D15,7)&lt;Inputs!$B$6,1,0),0)</f>
        <v>3</v>
      </c>
      <c r="AS15" s="19" t="n">
        <f aca="false">AS14+IF($B15=1,IF(MOD(4-$D15,7)&lt;Inputs!$B$6,1,0),0)</f>
        <v>2</v>
      </c>
      <c r="AT15" s="19" t="n">
        <f aca="false">AT14+IF($B15=1,IF(MOD(5-$D15,7)&lt;Inputs!$B$6,1,0),0)</f>
        <v>3</v>
      </c>
      <c r="AU15" s="19" t="n">
        <f aca="false">AU14+IF($B15=1,IF(MOD(6-$D15,7)&lt;Inputs!$B$6,1,0),0)</f>
        <v>4</v>
      </c>
    </row>
    <row r="16" customFormat="false" ht="15" hidden="false" customHeight="false" outlineLevel="0" collapsed="false">
      <c r="A16" s="0" t="n">
        <v>11</v>
      </c>
      <c r="B16" s="0" t="n">
        <f aca="false">IF(A16&lt;=Inputs!$B$3,1,0)</f>
        <v>0</v>
      </c>
      <c r="C16" s="0" t="n">
        <f aca="false">MOD(5+MOD(A16-1,7),7)</f>
        <v>1</v>
      </c>
      <c r="D16" s="0" t="n">
        <f aca="false">IF(Inputs!C33&lt;&gt;"",MATCH(Inputs!C33,Inputs!$A$11:$A$17,0)-1,IF(B16=0,0,MATCH(MIN(AH16:AN16),AH16:AN16,0)-1))</f>
        <v>0</v>
      </c>
      <c r="F16" s="0" t="n">
        <f aca="false">IF(OR($B16=0,F$3=0),0,IF(MOD(0-$D16,7)&lt;Inputs!$B$6,0,1))</f>
        <v>0</v>
      </c>
      <c r="G16" s="0" t="n">
        <f aca="false">IF(OR($B16=0,G$3=0),0,IF(MOD(1-$D16,7)&lt;Inputs!$B$6,0,1))</f>
        <v>0</v>
      </c>
      <c r="H16" s="0" t="n">
        <f aca="false">IF(OR($B16=0,H$3=0),0,IF(MOD(2-$D16,7)&lt;Inputs!$B$6,0,1))</f>
        <v>0</v>
      </c>
      <c r="I16" s="0" t="n">
        <f aca="false">IF(OR($B16=0,I$3=0),0,IF(MOD(3-$D16,7)&lt;Inputs!$B$6,0,1))</f>
        <v>0</v>
      </c>
      <c r="J16" s="0" t="n">
        <f aca="false">IF(OR($B16=0,J$3=0),0,IF(MOD(4-$D16,7)&lt;Inputs!$B$6,0,1))</f>
        <v>0</v>
      </c>
      <c r="K16" s="0" t="n">
        <f aca="false">IF(OR($B16=0,K$3=0),0,IF(MOD(5-$D16,7)&lt;Inputs!$B$6,0,1))</f>
        <v>0</v>
      </c>
      <c r="L16" s="0" t="n">
        <f aca="false">IF(OR($B16=0,L$3=0),0,IF(MOD(6-$D16,7)&lt;Inputs!$B$6,0,1))</f>
        <v>0</v>
      </c>
      <c r="M16" s="0" t="n">
        <f aca="false">SUM(F$6:F16)</f>
        <v>7</v>
      </c>
      <c r="N16" s="0" t="n">
        <f aca="false">SUM(G$6:G16)</f>
        <v>7</v>
      </c>
      <c r="O16" s="0" t="n">
        <f aca="false">SUM(H$6:H16)</f>
        <v>8</v>
      </c>
      <c r="P16" s="0" t="n">
        <f aca="false">SUM(I$6:I16)</f>
        <v>7</v>
      </c>
      <c r="Q16" s="0" t="n">
        <f aca="false">SUM(J$6:J16)</f>
        <v>8</v>
      </c>
      <c r="R16" s="0" t="n">
        <f aca="false">SUM(K$6:K16)</f>
        <v>7</v>
      </c>
      <c r="S16" s="0" t="n">
        <f aca="false">SUM(L$6:L16)</f>
        <v>6</v>
      </c>
      <c r="T16" s="18" t="n">
        <f aca="false">IF(F16=0,0,IF(Inputs!$D33="Open",F$1,IF(Inputs!$D33="Close",ROUND(F$2*1440-F$3*60,0)/1440,IF(OR(INT((M16-1)/Inputs!$B$7)=0,(INT((M$3-1-MOD(M16-1,Inputs!$B$7))/Inputs!$B$7)+1)&lt;=1),F$1,IF(INT((M16-1)/Inputs!$B$7)&gt;=(INT((M$3-1-MOD(M16-1,Inputs!$B$7))/Inputs!$B$7)+1)-1,ROUND(F$2*1440-F$3*60,0)/1440,MAX(F$1,MIN(ROUND(F$2*1440-F$3*60,0)/1440,ROUND((F$1+INT((M16-1)/Inputs!$B$7)/((INT((M$3-1-MOD(M16-1,Inputs!$B$7))/Inputs!$B$7)+1)-1)*((ROUND(F$2*1440-F$3*60,0)/1440)-F$1))*96,0)/96)))))))</f>
        <v>0</v>
      </c>
      <c r="U16" s="18" t="n">
        <f aca="false">IF(G16=0,0,IF(Inputs!$D33="Open",G$1,IF(Inputs!$D33="Close",ROUND(G$2*1440-G$3*60,0)/1440,IF(OR(INT((N16-1)/Inputs!$B$7)=0,(INT((N$3-1-MOD(N16-1,Inputs!$B$7))/Inputs!$B$7)+1)&lt;=1),G$1,IF(INT((N16-1)/Inputs!$B$7)&gt;=(INT((N$3-1-MOD(N16-1,Inputs!$B$7))/Inputs!$B$7)+1)-1,ROUND(G$2*1440-G$3*60,0)/1440,MAX(G$1,MIN(ROUND(G$2*1440-G$3*60,0)/1440,ROUND((G$1+INT((N16-1)/Inputs!$B$7)/((INT((N$3-1-MOD(N16-1,Inputs!$B$7))/Inputs!$B$7)+1)-1)*((ROUND(G$2*1440-G$3*60,0)/1440)-G$1))*96,0)/96)))))))</f>
        <v>0</v>
      </c>
      <c r="V16" s="18" t="n">
        <f aca="false">IF(H16=0,0,IF(Inputs!$D33="Open",H$1,IF(Inputs!$D33="Close",ROUND(H$2*1440-H$3*60,0)/1440,IF(OR(INT((O16-1)/Inputs!$B$7)=0,(INT((O$3-1-MOD(O16-1,Inputs!$B$7))/Inputs!$B$7)+1)&lt;=1),H$1,IF(INT((O16-1)/Inputs!$B$7)&gt;=(INT((O$3-1-MOD(O16-1,Inputs!$B$7))/Inputs!$B$7)+1)-1,ROUND(H$2*1440-H$3*60,0)/1440,MAX(H$1,MIN(ROUND(H$2*1440-H$3*60,0)/1440,ROUND((H$1+INT((O16-1)/Inputs!$B$7)/((INT((O$3-1-MOD(O16-1,Inputs!$B$7))/Inputs!$B$7)+1)-1)*((ROUND(H$2*1440-H$3*60,0)/1440)-H$1))*96,0)/96)))))))</f>
        <v>0</v>
      </c>
      <c r="W16" s="18" t="n">
        <f aca="false">IF(I16=0,0,IF(Inputs!$D33="Open",I$1,IF(Inputs!$D33="Close",ROUND(I$2*1440-I$3*60,0)/1440,IF(OR(INT((P16-1)/Inputs!$B$7)=0,(INT((P$3-1-MOD(P16-1,Inputs!$B$7))/Inputs!$B$7)+1)&lt;=1),I$1,IF(INT((P16-1)/Inputs!$B$7)&gt;=(INT((P$3-1-MOD(P16-1,Inputs!$B$7))/Inputs!$B$7)+1)-1,ROUND(I$2*1440-I$3*60,0)/1440,MAX(I$1,MIN(ROUND(I$2*1440-I$3*60,0)/1440,ROUND((I$1+INT((P16-1)/Inputs!$B$7)/((INT((P$3-1-MOD(P16-1,Inputs!$B$7))/Inputs!$B$7)+1)-1)*((ROUND(I$2*1440-I$3*60,0)/1440)-I$1))*96,0)/96)))))))</f>
        <v>0</v>
      </c>
      <c r="X16" s="18" t="n">
        <f aca="false">IF(J16=0,0,IF(Inputs!$D33="Open",J$1,IF(Inputs!$D33="Close",ROUND(J$2*1440-J$3*60,0)/1440,IF(OR(INT((Q16-1)/Inputs!$B$7)=0,(INT((Q$3-1-MOD(Q16-1,Inputs!$B$7))/Inputs!$B$7)+1)&lt;=1),J$1,IF(INT((Q16-1)/Inputs!$B$7)&gt;=(INT((Q$3-1-MOD(Q16-1,Inputs!$B$7))/Inputs!$B$7)+1)-1,ROUND(J$2*1440-J$3*60,0)/1440,MAX(J$1,MIN(ROUND(J$2*1440-J$3*60,0)/1440,ROUND((J$1+INT((Q16-1)/Inputs!$B$7)/((INT((Q$3-1-MOD(Q16-1,Inputs!$B$7))/Inputs!$B$7)+1)-1)*((ROUND(J$2*1440-J$3*60,0)/1440)-J$1))*96,0)/96)))))))</f>
        <v>0</v>
      </c>
      <c r="Y16" s="18" t="n">
        <f aca="false">IF(K16=0,0,IF(Inputs!$D33="Open",K$1,IF(Inputs!$D33="Close",ROUND(K$2*1440-K$3*60,0)/1440,IF(OR(INT((R16-1)/Inputs!$B$7)=0,(INT((R$3-1-MOD(R16-1,Inputs!$B$7))/Inputs!$B$7)+1)&lt;=1),K$1,IF(INT((R16-1)/Inputs!$B$7)&gt;=(INT((R$3-1-MOD(R16-1,Inputs!$B$7))/Inputs!$B$7)+1)-1,ROUND(K$2*1440-K$3*60,0)/1440,MAX(K$1,MIN(ROUND(K$2*1440-K$3*60,0)/1440,ROUND((K$1+INT((R16-1)/Inputs!$B$7)/((INT((R$3-1-MOD(R16-1,Inputs!$B$7))/Inputs!$B$7)+1)-1)*((ROUND(K$2*1440-K$3*60,0)/1440)-K$1))*96,0)/96)))))))</f>
        <v>0</v>
      </c>
      <c r="Z16" s="18" t="n">
        <f aca="false">IF(L16=0,0,IF(Inputs!$D33="Open",L$1,IF(Inputs!$D33="Close",ROUND(L$2*1440-L$3*60,0)/1440,IF(OR(INT((S16-1)/Inputs!$B$7)=0,(INT((S$3-1-MOD(S16-1,Inputs!$B$7))/Inputs!$B$7)+1)&lt;=1),L$1,IF(INT((S16-1)/Inputs!$B$7)&gt;=(INT((S$3-1-MOD(S16-1,Inputs!$B$7))/Inputs!$B$7)+1)-1,ROUND(L$2*1440-L$3*60,0)/1440,MAX(L$1,MIN(ROUND(L$2*1440-L$3*60,0)/1440,ROUND((L$1+INT((S16-1)/Inputs!$B$7)/((INT((S$3-1-MOD(S16-1,Inputs!$B$7))/Inputs!$B$7)+1)-1)*((ROUND(L$2*1440-L$3*60,0)/1440)-L$1))*96,0)/96)))))))</f>
        <v>0</v>
      </c>
      <c r="AA16" s="18" t="n">
        <f aca="false">IF(F16=0,0,ROUND(T16*1440+F$3*60,0)/1440)</f>
        <v>0</v>
      </c>
      <c r="AB16" s="18" t="n">
        <f aca="false">IF(G16=0,0,ROUND(U16*1440+G$3*60,0)/1440)</f>
        <v>0</v>
      </c>
      <c r="AC16" s="18" t="n">
        <f aca="false">IF(H16=0,0,ROUND(V16*1440+H$3*60,0)/1440)</f>
        <v>0</v>
      </c>
      <c r="AD16" s="18" t="n">
        <f aca="false">IF(I16=0,0,ROUND(W16*1440+I$3*60,0)/1440)</f>
        <v>0</v>
      </c>
      <c r="AE16" s="18" t="n">
        <f aca="false">IF(J16=0,0,ROUND(X16*1440+J$3*60,0)/1440)</f>
        <v>0</v>
      </c>
      <c r="AF16" s="18" t="n">
        <f aca="false">IF(K16=0,0,ROUND(Y16*1440+K$3*60,0)/1440)</f>
        <v>0</v>
      </c>
      <c r="AG16" s="18" t="n">
        <f aca="false">IF(L16=0,0,ROUND(Z16*1440+L$3*60,0)/1440)</f>
        <v>0</v>
      </c>
      <c r="AH16" s="19" t="n">
        <f aca="false">SUMPRODUCT((MOD(AO$1:AU$1-0,7)&lt;Inputs!$B$6)*AO$2:AU$2*(AO15:AU15+1))*100+MOD(0-5,7)</f>
        <v>1602</v>
      </c>
      <c r="AI16" s="19" t="n">
        <f aca="false">SUMPRODUCT((MOD(AO$1:AU$1-1,7)&lt;Inputs!$B$6)*AO$2:AU$2*(AO15:AU15+1))*100+MOD(1-5,7)</f>
        <v>1403</v>
      </c>
      <c r="AJ16" s="19" t="n">
        <f aca="false">SUMPRODUCT((MOD(AO$1:AU$1-2,7)&lt;Inputs!$B$6)*AO$2:AU$2*(AO15:AU15+1))*100+MOD(2-5,7)</f>
        <v>1404</v>
      </c>
      <c r="AK16" s="19" t="n">
        <f aca="false">SUMPRODUCT((MOD(AO$1:AU$1-3,7)&lt;Inputs!$B$6)*AO$2:AU$2*(AO15:AU15+1))*100+MOD(3-5,7)</f>
        <v>1405</v>
      </c>
      <c r="AL16" s="19" t="n">
        <f aca="false">SUMPRODUCT((MOD(AO$1:AU$1-4,7)&lt;Inputs!$B$6)*AO$2:AU$2*(AO15:AU15+1))*100+MOD(4-5,7)</f>
        <v>1406</v>
      </c>
      <c r="AM16" s="19" t="n">
        <f aca="false">SUMPRODUCT((MOD(AO$1:AU$1-5,7)&lt;Inputs!$B$6)*AO$2:AU$2*(AO15:AU15+1))*100+MOD(5-5,7)</f>
        <v>1800</v>
      </c>
      <c r="AN16" s="19" t="n">
        <f aca="false">SUMPRODUCT((MOD(AO$1:AU$1-6,7)&lt;Inputs!$B$6)*AO$2:AU$2*(AO15:AU15+1))*100+MOD(6-5,7)</f>
        <v>1801</v>
      </c>
      <c r="AO16" s="19" t="n">
        <f aca="false">AO15+IF($B16=1,IF(MOD(0-$D16,7)&lt;Inputs!$B$6,1,0),0)</f>
        <v>3</v>
      </c>
      <c r="AP16" s="19" t="n">
        <f aca="false">AP15+IF($B16=1,IF(MOD(1-$D16,7)&lt;Inputs!$B$6,1,0),0)</f>
        <v>3</v>
      </c>
      <c r="AQ16" s="19" t="n">
        <f aca="false">AQ15+IF($B16=1,IF(MOD(2-$D16,7)&lt;Inputs!$B$6,1,0),0)</f>
        <v>2</v>
      </c>
      <c r="AR16" s="19" t="n">
        <f aca="false">AR15+IF($B16=1,IF(MOD(3-$D16,7)&lt;Inputs!$B$6,1,0),0)</f>
        <v>3</v>
      </c>
      <c r="AS16" s="19" t="n">
        <f aca="false">AS15+IF($B16=1,IF(MOD(4-$D16,7)&lt;Inputs!$B$6,1,0),0)</f>
        <v>2</v>
      </c>
      <c r="AT16" s="19" t="n">
        <f aca="false">AT15+IF($B16=1,IF(MOD(5-$D16,7)&lt;Inputs!$B$6,1,0),0)</f>
        <v>3</v>
      </c>
      <c r="AU16" s="19" t="n">
        <f aca="false">AU15+IF($B16=1,IF(MOD(6-$D16,7)&lt;Inputs!$B$6,1,0),0)</f>
        <v>4</v>
      </c>
    </row>
    <row r="17" customFormat="false" ht="15" hidden="false" customHeight="false" outlineLevel="0" collapsed="false">
      <c r="A17" s="0" t="n">
        <v>12</v>
      </c>
      <c r="B17" s="0" t="n">
        <f aca="false">IF(A17&lt;=Inputs!$B$3,1,0)</f>
        <v>0</v>
      </c>
      <c r="C17" s="0" t="n">
        <f aca="false">MOD(5+MOD(A17-1,7),7)</f>
        <v>2</v>
      </c>
      <c r="D17" s="0" t="n">
        <f aca="false">IF(Inputs!C34&lt;&gt;"",MATCH(Inputs!C34,Inputs!$A$11:$A$17,0)-1,IF(B17=0,0,MATCH(MIN(AH17:AN17),AH17:AN17,0)-1))</f>
        <v>0</v>
      </c>
      <c r="F17" s="0" t="n">
        <f aca="false">IF(OR($B17=0,F$3=0),0,IF(MOD(0-$D17,7)&lt;Inputs!$B$6,0,1))</f>
        <v>0</v>
      </c>
      <c r="G17" s="0" t="n">
        <f aca="false">IF(OR($B17=0,G$3=0),0,IF(MOD(1-$D17,7)&lt;Inputs!$B$6,0,1))</f>
        <v>0</v>
      </c>
      <c r="H17" s="0" t="n">
        <f aca="false">IF(OR($B17=0,H$3=0),0,IF(MOD(2-$D17,7)&lt;Inputs!$B$6,0,1))</f>
        <v>0</v>
      </c>
      <c r="I17" s="0" t="n">
        <f aca="false">IF(OR($B17=0,I$3=0),0,IF(MOD(3-$D17,7)&lt;Inputs!$B$6,0,1))</f>
        <v>0</v>
      </c>
      <c r="J17" s="0" t="n">
        <f aca="false">IF(OR($B17=0,J$3=0),0,IF(MOD(4-$D17,7)&lt;Inputs!$B$6,0,1))</f>
        <v>0</v>
      </c>
      <c r="K17" s="0" t="n">
        <f aca="false">IF(OR($B17=0,K$3=0),0,IF(MOD(5-$D17,7)&lt;Inputs!$B$6,0,1))</f>
        <v>0</v>
      </c>
      <c r="L17" s="0" t="n">
        <f aca="false">IF(OR($B17=0,L$3=0),0,IF(MOD(6-$D17,7)&lt;Inputs!$B$6,0,1))</f>
        <v>0</v>
      </c>
      <c r="M17" s="0" t="n">
        <f aca="false">SUM(F$6:F17)</f>
        <v>7</v>
      </c>
      <c r="N17" s="0" t="n">
        <f aca="false">SUM(G$6:G17)</f>
        <v>7</v>
      </c>
      <c r="O17" s="0" t="n">
        <f aca="false">SUM(H$6:H17)</f>
        <v>8</v>
      </c>
      <c r="P17" s="0" t="n">
        <f aca="false">SUM(I$6:I17)</f>
        <v>7</v>
      </c>
      <c r="Q17" s="0" t="n">
        <f aca="false">SUM(J$6:J17)</f>
        <v>8</v>
      </c>
      <c r="R17" s="0" t="n">
        <f aca="false">SUM(K$6:K17)</f>
        <v>7</v>
      </c>
      <c r="S17" s="0" t="n">
        <f aca="false">SUM(L$6:L17)</f>
        <v>6</v>
      </c>
      <c r="T17" s="18" t="n">
        <f aca="false">IF(F17=0,0,IF(Inputs!$D34="Open",F$1,IF(Inputs!$D34="Close",ROUND(F$2*1440-F$3*60,0)/1440,IF(OR(INT((M17-1)/Inputs!$B$7)=0,(INT((M$3-1-MOD(M17-1,Inputs!$B$7))/Inputs!$B$7)+1)&lt;=1),F$1,IF(INT((M17-1)/Inputs!$B$7)&gt;=(INT((M$3-1-MOD(M17-1,Inputs!$B$7))/Inputs!$B$7)+1)-1,ROUND(F$2*1440-F$3*60,0)/1440,MAX(F$1,MIN(ROUND(F$2*1440-F$3*60,0)/1440,ROUND((F$1+INT((M17-1)/Inputs!$B$7)/((INT((M$3-1-MOD(M17-1,Inputs!$B$7))/Inputs!$B$7)+1)-1)*((ROUND(F$2*1440-F$3*60,0)/1440)-F$1))*96,0)/96)))))))</f>
        <v>0</v>
      </c>
      <c r="U17" s="18" t="n">
        <f aca="false">IF(G17=0,0,IF(Inputs!$D34="Open",G$1,IF(Inputs!$D34="Close",ROUND(G$2*1440-G$3*60,0)/1440,IF(OR(INT((N17-1)/Inputs!$B$7)=0,(INT((N$3-1-MOD(N17-1,Inputs!$B$7))/Inputs!$B$7)+1)&lt;=1),G$1,IF(INT((N17-1)/Inputs!$B$7)&gt;=(INT((N$3-1-MOD(N17-1,Inputs!$B$7))/Inputs!$B$7)+1)-1,ROUND(G$2*1440-G$3*60,0)/1440,MAX(G$1,MIN(ROUND(G$2*1440-G$3*60,0)/1440,ROUND((G$1+INT((N17-1)/Inputs!$B$7)/((INT((N$3-1-MOD(N17-1,Inputs!$B$7))/Inputs!$B$7)+1)-1)*((ROUND(G$2*1440-G$3*60,0)/1440)-G$1))*96,0)/96)))))))</f>
        <v>0</v>
      </c>
      <c r="V17" s="18" t="n">
        <f aca="false">IF(H17=0,0,IF(Inputs!$D34="Open",H$1,IF(Inputs!$D34="Close",ROUND(H$2*1440-H$3*60,0)/1440,IF(OR(INT((O17-1)/Inputs!$B$7)=0,(INT((O$3-1-MOD(O17-1,Inputs!$B$7))/Inputs!$B$7)+1)&lt;=1),H$1,IF(INT((O17-1)/Inputs!$B$7)&gt;=(INT((O$3-1-MOD(O17-1,Inputs!$B$7))/Inputs!$B$7)+1)-1,ROUND(H$2*1440-H$3*60,0)/1440,MAX(H$1,MIN(ROUND(H$2*1440-H$3*60,0)/1440,ROUND((H$1+INT((O17-1)/Inputs!$B$7)/((INT((O$3-1-MOD(O17-1,Inputs!$B$7))/Inputs!$B$7)+1)-1)*((ROUND(H$2*1440-H$3*60,0)/1440)-H$1))*96,0)/96)))))))</f>
        <v>0</v>
      </c>
      <c r="W17" s="18" t="n">
        <f aca="false">IF(I17=0,0,IF(Inputs!$D34="Open",I$1,IF(Inputs!$D34="Close",ROUND(I$2*1440-I$3*60,0)/1440,IF(OR(INT((P17-1)/Inputs!$B$7)=0,(INT((P$3-1-MOD(P17-1,Inputs!$B$7))/Inputs!$B$7)+1)&lt;=1),I$1,IF(INT((P17-1)/Inputs!$B$7)&gt;=(INT((P$3-1-MOD(P17-1,Inputs!$B$7))/Inputs!$B$7)+1)-1,ROUND(I$2*1440-I$3*60,0)/1440,MAX(I$1,MIN(ROUND(I$2*1440-I$3*60,0)/1440,ROUND((I$1+INT((P17-1)/Inputs!$B$7)/((INT((P$3-1-MOD(P17-1,Inputs!$B$7))/Inputs!$B$7)+1)-1)*((ROUND(I$2*1440-I$3*60,0)/1440)-I$1))*96,0)/96)))))))</f>
        <v>0</v>
      </c>
      <c r="X17" s="18" t="n">
        <f aca="false">IF(J17=0,0,IF(Inputs!$D34="Open",J$1,IF(Inputs!$D34="Close",ROUND(J$2*1440-J$3*60,0)/1440,IF(OR(INT((Q17-1)/Inputs!$B$7)=0,(INT((Q$3-1-MOD(Q17-1,Inputs!$B$7))/Inputs!$B$7)+1)&lt;=1),J$1,IF(INT((Q17-1)/Inputs!$B$7)&gt;=(INT((Q$3-1-MOD(Q17-1,Inputs!$B$7))/Inputs!$B$7)+1)-1,ROUND(J$2*1440-J$3*60,0)/1440,MAX(J$1,MIN(ROUND(J$2*1440-J$3*60,0)/1440,ROUND((J$1+INT((Q17-1)/Inputs!$B$7)/((INT((Q$3-1-MOD(Q17-1,Inputs!$B$7))/Inputs!$B$7)+1)-1)*((ROUND(J$2*1440-J$3*60,0)/1440)-J$1))*96,0)/96)))))))</f>
        <v>0</v>
      </c>
      <c r="Y17" s="18" t="n">
        <f aca="false">IF(K17=0,0,IF(Inputs!$D34="Open",K$1,IF(Inputs!$D34="Close",ROUND(K$2*1440-K$3*60,0)/1440,IF(OR(INT((R17-1)/Inputs!$B$7)=0,(INT((R$3-1-MOD(R17-1,Inputs!$B$7))/Inputs!$B$7)+1)&lt;=1),K$1,IF(INT((R17-1)/Inputs!$B$7)&gt;=(INT((R$3-1-MOD(R17-1,Inputs!$B$7))/Inputs!$B$7)+1)-1,ROUND(K$2*1440-K$3*60,0)/1440,MAX(K$1,MIN(ROUND(K$2*1440-K$3*60,0)/1440,ROUND((K$1+INT((R17-1)/Inputs!$B$7)/((INT((R$3-1-MOD(R17-1,Inputs!$B$7))/Inputs!$B$7)+1)-1)*((ROUND(K$2*1440-K$3*60,0)/1440)-K$1))*96,0)/96)))))))</f>
        <v>0</v>
      </c>
      <c r="Z17" s="18" t="n">
        <f aca="false">IF(L17=0,0,IF(Inputs!$D34="Open",L$1,IF(Inputs!$D34="Close",ROUND(L$2*1440-L$3*60,0)/1440,IF(OR(INT((S17-1)/Inputs!$B$7)=0,(INT((S$3-1-MOD(S17-1,Inputs!$B$7))/Inputs!$B$7)+1)&lt;=1),L$1,IF(INT((S17-1)/Inputs!$B$7)&gt;=(INT((S$3-1-MOD(S17-1,Inputs!$B$7))/Inputs!$B$7)+1)-1,ROUND(L$2*1440-L$3*60,0)/1440,MAX(L$1,MIN(ROUND(L$2*1440-L$3*60,0)/1440,ROUND((L$1+INT((S17-1)/Inputs!$B$7)/((INT((S$3-1-MOD(S17-1,Inputs!$B$7))/Inputs!$B$7)+1)-1)*((ROUND(L$2*1440-L$3*60,0)/1440)-L$1))*96,0)/96)))))))</f>
        <v>0</v>
      </c>
      <c r="AA17" s="18" t="n">
        <f aca="false">IF(F17=0,0,ROUND(T17*1440+F$3*60,0)/1440)</f>
        <v>0</v>
      </c>
      <c r="AB17" s="18" t="n">
        <f aca="false">IF(G17=0,0,ROUND(U17*1440+G$3*60,0)/1440)</f>
        <v>0</v>
      </c>
      <c r="AC17" s="18" t="n">
        <f aca="false">IF(H17=0,0,ROUND(V17*1440+H$3*60,0)/1440)</f>
        <v>0</v>
      </c>
      <c r="AD17" s="18" t="n">
        <f aca="false">IF(I17=0,0,ROUND(W17*1440+I$3*60,0)/1440)</f>
        <v>0</v>
      </c>
      <c r="AE17" s="18" t="n">
        <f aca="false">IF(J17=0,0,ROUND(X17*1440+J$3*60,0)/1440)</f>
        <v>0</v>
      </c>
      <c r="AF17" s="18" t="n">
        <f aca="false">IF(K17=0,0,ROUND(Y17*1440+K$3*60,0)/1440)</f>
        <v>0</v>
      </c>
      <c r="AG17" s="18" t="n">
        <f aca="false">IF(L17=0,0,ROUND(Z17*1440+L$3*60,0)/1440)</f>
        <v>0</v>
      </c>
      <c r="AH17" s="19" t="n">
        <f aca="false">SUMPRODUCT((MOD(AO$1:AU$1-0,7)&lt;Inputs!$B$6)*AO$2:AU$2*(AO16:AU16+1))*100+MOD(0-5,7)</f>
        <v>1602</v>
      </c>
      <c r="AI17" s="19" t="n">
        <f aca="false">SUMPRODUCT((MOD(AO$1:AU$1-1,7)&lt;Inputs!$B$6)*AO$2:AU$2*(AO16:AU16+1))*100+MOD(1-5,7)</f>
        <v>1403</v>
      </c>
      <c r="AJ17" s="19" t="n">
        <f aca="false">SUMPRODUCT((MOD(AO$1:AU$1-2,7)&lt;Inputs!$B$6)*AO$2:AU$2*(AO16:AU16+1))*100+MOD(2-5,7)</f>
        <v>1404</v>
      </c>
      <c r="AK17" s="19" t="n">
        <f aca="false">SUMPRODUCT((MOD(AO$1:AU$1-3,7)&lt;Inputs!$B$6)*AO$2:AU$2*(AO16:AU16+1))*100+MOD(3-5,7)</f>
        <v>1405</v>
      </c>
      <c r="AL17" s="19" t="n">
        <f aca="false">SUMPRODUCT((MOD(AO$1:AU$1-4,7)&lt;Inputs!$B$6)*AO$2:AU$2*(AO16:AU16+1))*100+MOD(4-5,7)</f>
        <v>1406</v>
      </c>
      <c r="AM17" s="19" t="n">
        <f aca="false">SUMPRODUCT((MOD(AO$1:AU$1-5,7)&lt;Inputs!$B$6)*AO$2:AU$2*(AO16:AU16+1))*100+MOD(5-5,7)</f>
        <v>1800</v>
      </c>
      <c r="AN17" s="19" t="n">
        <f aca="false">SUMPRODUCT((MOD(AO$1:AU$1-6,7)&lt;Inputs!$B$6)*AO$2:AU$2*(AO16:AU16+1))*100+MOD(6-5,7)</f>
        <v>1801</v>
      </c>
      <c r="AO17" s="19" t="n">
        <f aca="false">AO16+IF($B17=1,IF(MOD(0-$D17,7)&lt;Inputs!$B$6,1,0),0)</f>
        <v>3</v>
      </c>
      <c r="AP17" s="19" t="n">
        <f aca="false">AP16+IF($B17=1,IF(MOD(1-$D17,7)&lt;Inputs!$B$6,1,0),0)</f>
        <v>3</v>
      </c>
      <c r="AQ17" s="19" t="n">
        <f aca="false">AQ16+IF($B17=1,IF(MOD(2-$D17,7)&lt;Inputs!$B$6,1,0),0)</f>
        <v>2</v>
      </c>
      <c r="AR17" s="19" t="n">
        <f aca="false">AR16+IF($B17=1,IF(MOD(3-$D17,7)&lt;Inputs!$B$6,1,0),0)</f>
        <v>3</v>
      </c>
      <c r="AS17" s="19" t="n">
        <f aca="false">AS16+IF($B17=1,IF(MOD(4-$D17,7)&lt;Inputs!$B$6,1,0),0)</f>
        <v>2</v>
      </c>
      <c r="AT17" s="19" t="n">
        <f aca="false">AT16+IF($B17=1,IF(MOD(5-$D17,7)&lt;Inputs!$B$6,1,0),0)</f>
        <v>3</v>
      </c>
      <c r="AU17" s="19" t="n">
        <f aca="false">AU16+IF($B17=1,IF(MOD(6-$D17,7)&lt;Inputs!$B$6,1,0),0)</f>
        <v>4</v>
      </c>
    </row>
    <row r="18" customFormat="false" ht="15" hidden="false" customHeight="false" outlineLevel="0" collapsed="false">
      <c r="A18" s="0" t="n">
        <v>13</v>
      </c>
      <c r="B18" s="0" t="n">
        <f aca="false">IF(A18&lt;=Inputs!$B$3,1,0)</f>
        <v>0</v>
      </c>
      <c r="C18" s="0" t="n">
        <f aca="false">MOD(5+MOD(A18-1,7),7)</f>
        <v>3</v>
      </c>
      <c r="D18" s="0" t="n">
        <f aca="false">IF(Inputs!C35&lt;&gt;"",MATCH(Inputs!C35,Inputs!$A$11:$A$17,0)-1,IF(B18=0,0,MATCH(MIN(AH18:AN18),AH18:AN18,0)-1))</f>
        <v>0</v>
      </c>
      <c r="F18" s="0" t="n">
        <f aca="false">IF(OR($B18=0,F$3=0),0,IF(MOD(0-$D18,7)&lt;Inputs!$B$6,0,1))</f>
        <v>0</v>
      </c>
      <c r="G18" s="0" t="n">
        <f aca="false">IF(OR($B18=0,G$3=0),0,IF(MOD(1-$D18,7)&lt;Inputs!$B$6,0,1))</f>
        <v>0</v>
      </c>
      <c r="H18" s="0" t="n">
        <f aca="false">IF(OR($B18=0,H$3=0),0,IF(MOD(2-$D18,7)&lt;Inputs!$B$6,0,1))</f>
        <v>0</v>
      </c>
      <c r="I18" s="0" t="n">
        <f aca="false">IF(OR($B18=0,I$3=0),0,IF(MOD(3-$D18,7)&lt;Inputs!$B$6,0,1))</f>
        <v>0</v>
      </c>
      <c r="J18" s="0" t="n">
        <f aca="false">IF(OR($B18=0,J$3=0),0,IF(MOD(4-$D18,7)&lt;Inputs!$B$6,0,1))</f>
        <v>0</v>
      </c>
      <c r="K18" s="0" t="n">
        <f aca="false">IF(OR($B18=0,K$3=0),0,IF(MOD(5-$D18,7)&lt;Inputs!$B$6,0,1))</f>
        <v>0</v>
      </c>
      <c r="L18" s="0" t="n">
        <f aca="false">IF(OR($B18=0,L$3=0),0,IF(MOD(6-$D18,7)&lt;Inputs!$B$6,0,1))</f>
        <v>0</v>
      </c>
      <c r="M18" s="0" t="n">
        <f aca="false">SUM(F$6:F18)</f>
        <v>7</v>
      </c>
      <c r="N18" s="0" t="n">
        <f aca="false">SUM(G$6:G18)</f>
        <v>7</v>
      </c>
      <c r="O18" s="0" t="n">
        <f aca="false">SUM(H$6:H18)</f>
        <v>8</v>
      </c>
      <c r="P18" s="0" t="n">
        <f aca="false">SUM(I$6:I18)</f>
        <v>7</v>
      </c>
      <c r="Q18" s="0" t="n">
        <f aca="false">SUM(J$6:J18)</f>
        <v>8</v>
      </c>
      <c r="R18" s="0" t="n">
        <f aca="false">SUM(K$6:K18)</f>
        <v>7</v>
      </c>
      <c r="S18" s="0" t="n">
        <f aca="false">SUM(L$6:L18)</f>
        <v>6</v>
      </c>
      <c r="T18" s="18" t="n">
        <f aca="false">IF(F18=0,0,IF(Inputs!$D35="Open",F$1,IF(Inputs!$D35="Close",ROUND(F$2*1440-F$3*60,0)/1440,IF(OR(INT((M18-1)/Inputs!$B$7)=0,(INT((M$3-1-MOD(M18-1,Inputs!$B$7))/Inputs!$B$7)+1)&lt;=1),F$1,IF(INT((M18-1)/Inputs!$B$7)&gt;=(INT((M$3-1-MOD(M18-1,Inputs!$B$7))/Inputs!$B$7)+1)-1,ROUND(F$2*1440-F$3*60,0)/1440,MAX(F$1,MIN(ROUND(F$2*1440-F$3*60,0)/1440,ROUND((F$1+INT((M18-1)/Inputs!$B$7)/((INT((M$3-1-MOD(M18-1,Inputs!$B$7))/Inputs!$B$7)+1)-1)*((ROUND(F$2*1440-F$3*60,0)/1440)-F$1))*96,0)/96)))))))</f>
        <v>0</v>
      </c>
      <c r="U18" s="18" t="n">
        <f aca="false">IF(G18=0,0,IF(Inputs!$D35="Open",G$1,IF(Inputs!$D35="Close",ROUND(G$2*1440-G$3*60,0)/1440,IF(OR(INT((N18-1)/Inputs!$B$7)=0,(INT((N$3-1-MOD(N18-1,Inputs!$B$7))/Inputs!$B$7)+1)&lt;=1),G$1,IF(INT((N18-1)/Inputs!$B$7)&gt;=(INT((N$3-1-MOD(N18-1,Inputs!$B$7))/Inputs!$B$7)+1)-1,ROUND(G$2*1440-G$3*60,0)/1440,MAX(G$1,MIN(ROUND(G$2*1440-G$3*60,0)/1440,ROUND((G$1+INT((N18-1)/Inputs!$B$7)/((INT((N$3-1-MOD(N18-1,Inputs!$B$7))/Inputs!$B$7)+1)-1)*((ROUND(G$2*1440-G$3*60,0)/1440)-G$1))*96,0)/96)))))))</f>
        <v>0</v>
      </c>
      <c r="V18" s="18" t="n">
        <f aca="false">IF(H18=0,0,IF(Inputs!$D35="Open",H$1,IF(Inputs!$D35="Close",ROUND(H$2*1440-H$3*60,0)/1440,IF(OR(INT((O18-1)/Inputs!$B$7)=0,(INT((O$3-1-MOD(O18-1,Inputs!$B$7))/Inputs!$B$7)+1)&lt;=1),H$1,IF(INT((O18-1)/Inputs!$B$7)&gt;=(INT((O$3-1-MOD(O18-1,Inputs!$B$7))/Inputs!$B$7)+1)-1,ROUND(H$2*1440-H$3*60,0)/1440,MAX(H$1,MIN(ROUND(H$2*1440-H$3*60,0)/1440,ROUND((H$1+INT((O18-1)/Inputs!$B$7)/((INT((O$3-1-MOD(O18-1,Inputs!$B$7))/Inputs!$B$7)+1)-1)*((ROUND(H$2*1440-H$3*60,0)/1440)-H$1))*96,0)/96)))))))</f>
        <v>0</v>
      </c>
      <c r="W18" s="18" t="n">
        <f aca="false">IF(I18=0,0,IF(Inputs!$D35="Open",I$1,IF(Inputs!$D35="Close",ROUND(I$2*1440-I$3*60,0)/1440,IF(OR(INT((P18-1)/Inputs!$B$7)=0,(INT((P$3-1-MOD(P18-1,Inputs!$B$7))/Inputs!$B$7)+1)&lt;=1),I$1,IF(INT((P18-1)/Inputs!$B$7)&gt;=(INT((P$3-1-MOD(P18-1,Inputs!$B$7))/Inputs!$B$7)+1)-1,ROUND(I$2*1440-I$3*60,0)/1440,MAX(I$1,MIN(ROUND(I$2*1440-I$3*60,0)/1440,ROUND((I$1+INT((P18-1)/Inputs!$B$7)/((INT((P$3-1-MOD(P18-1,Inputs!$B$7))/Inputs!$B$7)+1)-1)*((ROUND(I$2*1440-I$3*60,0)/1440)-I$1))*96,0)/96)))))))</f>
        <v>0</v>
      </c>
      <c r="X18" s="18" t="n">
        <f aca="false">IF(J18=0,0,IF(Inputs!$D35="Open",J$1,IF(Inputs!$D35="Close",ROUND(J$2*1440-J$3*60,0)/1440,IF(OR(INT((Q18-1)/Inputs!$B$7)=0,(INT((Q$3-1-MOD(Q18-1,Inputs!$B$7))/Inputs!$B$7)+1)&lt;=1),J$1,IF(INT((Q18-1)/Inputs!$B$7)&gt;=(INT((Q$3-1-MOD(Q18-1,Inputs!$B$7))/Inputs!$B$7)+1)-1,ROUND(J$2*1440-J$3*60,0)/1440,MAX(J$1,MIN(ROUND(J$2*1440-J$3*60,0)/1440,ROUND((J$1+INT((Q18-1)/Inputs!$B$7)/((INT((Q$3-1-MOD(Q18-1,Inputs!$B$7))/Inputs!$B$7)+1)-1)*((ROUND(J$2*1440-J$3*60,0)/1440)-J$1))*96,0)/96)))))))</f>
        <v>0</v>
      </c>
      <c r="Y18" s="18" t="n">
        <f aca="false">IF(K18=0,0,IF(Inputs!$D35="Open",K$1,IF(Inputs!$D35="Close",ROUND(K$2*1440-K$3*60,0)/1440,IF(OR(INT((R18-1)/Inputs!$B$7)=0,(INT((R$3-1-MOD(R18-1,Inputs!$B$7))/Inputs!$B$7)+1)&lt;=1),K$1,IF(INT((R18-1)/Inputs!$B$7)&gt;=(INT((R$3-1-MOD(R18-1,Inputs!$B$7))/Inputs!$B$7)+1)-1,ROUND(K$2*1440-K$3*60,0)/1440,MAX(K$1,MIN(ROUND(K$2*1440-K$3*60,0)/1440,ROUND((K$1+INT((R18-1)/Inputs!$B$7)/((INT((R$3-1-MOD(R18-1,Inputs!$B$7))/Inputs!$B$7)+1)-1)*((ROUND(K$2*1440-K$3*60,0)/1440)-K$1))*96,0)/96)))))))</f>
        <v>0</v>
      </c>
      <c r="Z18" s="18" t="n">
        <f aca="false">IF(L18=0,0,IF(Inputs!$D35="Open",L$1,IF(Inputs!$D35="Close",ROUND(L$2*1440-L$3*60,0)/1440,IF(OR(INT((S18-1)/Inputs!$B$7)=0,(INT((S$3-1-MOD(S18-1,Inputs!$B$7))/Inputs!$B$7)+1)&lt;=1),L$1,IF(INT((S18-1)/Inputs!$B$7)&gt;=(INT((S$3-1-MOD(S18-1,Inputs!$B$7))/Inputs!$B$7)+1)-1,ROUND(L$2*1440-L$3*60,0)/1440,MAX(L$1,MIN(ROUND(L$2*1440-L$3*60,0)/1440,ROUND((L$1+INT((S18-1)/Inputs!$B$7)/((INT((S$3-1-MOD(S18-1,Inputs!$B$7))/Inputs!$B$7)+1)-1)*((ROUND(L$2*1440-L$3*60,0)/1440)-L$1))*96,0)/96)))))))</f>
        <v>0</v>
      </c>
      <c r="AA18" s="18" t="n">
        <f aca="false">IF(F18=0,0,ROUND(T18*1440+F$3*60,0)/1440)</f>
        <v>0</v>
      </c>
      <c r="AB18" s="18" t="n">
        <f aca="false">IF(G18=0,0,ROUND(U18*1440+G$3*60,0)/1440)</f>
        <v>0</v>
      </c>
      <c r="AC18" s="18" t="n">
        <f aca="false">IF(H18=0,0,ROUND(V18*1440+H$3*60,0)/1440)</f>
        <v>0</v>
      </c>
      <c r="AD18" s="18" t="n">
        <f aca="false">IF(I18=0,0,ROUND(W18*1440+I$3*60,0)/1440)</f>
        <v>0</v>
      </c>
      <c r="AE18" s="18" t="n">
        <f aca="false">IF(J18=0,0,ROUND(X18*1440+J$3*60,0)/1440)</f>
        <v>0</v>
      </c>
      <c r="AF18" s="18" t="n">
        <f aca="false">IF(K18=0,0,ROUND(Y18*1440+K$3*60,0)/1440)</f>
        <v>0</v>
      </c>
      <c r="AG18" s="18" t="n">
        <f aca="false">IF(L18=0,0,ROUND(Z18*1440+L$3*60,0)/1440)</f>
        <v>0</v>
      </c>
      <c r="AH18" s="19" t="n">
        <f aca="false">SUMPRODUCT((MOD(AO$1:AU$1-0,7)&lt;Inputs!$B$6)*AO$2:AU$2*(AO17:AU17+1))*100+MOD(0-5,7)</f>
        <v>1602</v>
      </c>
      <c r="AI18" s="19" t="n">
        <f aca="false">SUMPRODUCT((MOD(AO$1:AU$1-1,7)&lt;Inputs!$B$6)*AO$2:AU$2*(AO17:AU17+1))*100+MOD(1-5,7)</f>
        <v>1403</v>
      </c>
      <c r="AJ18" s="19" t="n">
        <f aca="false">SUMPRODUCT((MOD(AO$1:AU$1-2,7)&lt;Inputs!$B$6)*AO$2:AU$2*(AO17:AU17+1))*100+MOD(2-5,7)</f>
        <v>1404</v>
      </c>
      <c r="AK18" s="19" t="n">
        <f aca="false">SUMPRODUCT((MOD(AO$1:AU$1-3,7)&lt;Inputs!$B$6)*AO$2:AU$2*(AO17:AU17+1))*100+MOD(3-5,7)</f>
        <v>1405</v>
      </c>
      <c r="AL18" s="19" t="n">
        <f aca="false">SUMPRODUCT((MOD(AO$1:AU$1-4,7)&lt;Inputs!$B$6)*AO$2:AU$2*(AO17:AU17+1))*100+MOD(4-5,7)</f>
        <v>1406</v>
      </c>
      <c r="AM18" s="19" t="n">
        <f aca="false">SUMPRODUCT((MOD(AO$1:AU$1-5,7)&lt;Inputs!$B$6)*AO$2:AU$2*(AO17:AU17+1))*100+MOD(5-5,7)</f>
        <v>1800</v>
      </c>
      <c r="AN18" s="19" t="n">
        <f aca="false">SUMPRODUCT((MOD(AO$1:AU$1-6,7)&lt;Inputs!$B$6)*AO$2:AU$2*(AO17:AU17+1))*100+MOD(6-5,7)</f>
        <v>1801</v>
      </c>
      <c r="AO18" s="19" t="n">
        <f aca="false">AO17+IF($B18=1,IF(MOD(0-$D18,7)&lt;Inputs!$B$6,1,0),0)</f>
        <v>3</v>
      </c>
      <c r="AP18" s="19" t="n">
        <f aca="false">AP17+IF($B18=1,IF(MOD(1-$D18,7)&lt;Inputs!$B$6,1,0),0)</f>
        <v>3</v>
      </c>
      <c r="AQ18" s="19" t="n">
        <f aca="false">AQ17+IF($B18=1,IF(MOD(2-$D18,7)&lt;Inputs!$B$6,1,0),0)</f>
        <v>2</v>
      </c>
      <c r="AR18" s="19" t="n">
        <f aca="false">AR17+IF($B18=1,IF(MOD(3-$D18,7)&lt;Inputs!$B$6,1,0),0)</f>
        <v>3</v>
      </c>
      <c r="AS18" s="19" t="n">
        <f aca="false">AS17+IF($B18=1,IF(MOD(4-$D18,7)&lt;Inputs!$B$6,1,0),0)</f>
        <v>2</v>
      </c>
      <c r="AT18" s="19" t="n">
        <f aca="false">AT17+IF($B18=1,IF(MOD(5-$D18,7)&lt;Inputs!$B$6,1,0),0)</f>
        <v>3</v>
      </c>
      <c r="AU18" s="19" t="n">
        <f aca="false">AU17+IF($B18=1,IF(MOD(6-$D18,7)&lt;Inputs!$B$6,1,0),0)</f>
        <v>4</v>
      </c>
    </row>
    <row r="19" customFormat="false" ht="15" hidden="false" customHeight="false" outlineLevel="0" collapsed="false">
      <c r="A19" s="0" t="n">
        <v>14</v>
      </c>
      <c r="B19" s="0" t="n">
        <f aca="false">IF(A19&lt;=Inputs!$B$3,1,0)</f>
        <v>0</v>
      </c>
      <c r="C19" s="0" t="n">
        <f aca="false">MOD(5+MOD(A19-1,7),7)</f>
        <v>4</v>
      </c>
      <c r="D19" s="0" t="n">
        <f aca="false">IF(Inputs!C36&lt;&gt;"",MATCH(Inputs!C36,Inputs!$A$11:$A$17,0)-1,IF(B19=0,0,MATCH(MIN(AH19:AN19),AH19:AN19,0)-1))</f>
        <v>0</v>
      </c>
      <c r="F19" s="0" t="n">
        <f aca="false">IF(OR($B19=0,F$3=0),0,IF(MOD(0-$D19,7)&lt;Inputs!$B$6,0,1))</f>
        <v>0</v>
      </c>
      <c r="G19" s="0" t="n">
        <f aca="false">IF(OR($B19=0,G$3=0),0,IF(MOD(1-$D19,7)&lt;Inputs!$B$6,0,1))</f>
        <v>0</v>
      </c>
      <c r="H19" s="0" t="n">
        <f aca="false">IF(OR($B19=0,H$3=0),0,IF(MOD(2-$D19,7)&lt;Inputs!$B$6,0,1))</f>
        <v>0</v>
      </c>
      <c r="I19" s="0" t="n">
        <f aca="false">IF(OR($B19=0,I$3=0),0,IF(MOD(3-$D19,7)&lt;Inputs!$B$6,0,1))</f>
        <v>0</v>
      </c>
      <c r="J19" s="0" t="n">
        <f aca="false">IF(OR($B19=0,J$3=0),0,IF(MOD(4-$D19,7)&lt;Inputs!$B$6,0,1))</f>
        <v>0</v>
      </c>
      <c r="K19" s="0" t="n">
        <f aca="false">IF(OR($B19=0,K$3=0),0,IF(MOD(5-$D19,7)&lt;Inputs!$B$6,0,1))</f>
        <v>0</v>
      </c>
      <c r="L19" s="0" t="n">
        <f aca="false">IF(OR($B19=0,L$3=0),0,IF(MOD(6-$D19,7)&lt;Inputs!$B$6,0,1))</f>
        <v>0</v>
      </c>
      <c r="M19" s="0" t="n">
        <f aca="false">SUM(F$6:F19)</f>
        <v>7</v>
      </c>
      <c r="N19" s="0" t="n">
        <f aca="false">SUM(G$6:G19)</f>
        <v>7</v>
      </c>
      <c r="O19" s="0" t="n">
        <f aca="false">SUM(H$6:H19)</f>
        <v>8</v>
      </c>
      <c r="P19" s="0" t="n">
        <f aca="false">SUM(I$6:I19)</f>
        <v>7</v>
      </c>
      <c r="Q19" s="0" t="n">
        <f aca="false">SUM(J$6:J19)</f>
        <v>8</v>
      </c>
      <c r="R19" s="0" t="n">
        <f aca="false">SUM(K$6:K19)</f>
        <v>7</v>
      </c>
      <c r="S19" s="0" t="n">
        <f aca="false">SUM(L$6:L19)</f>
        <v>6</v>
      </c>
      <c r="T19" s="18" t="n">
        <f aca="false">IF(F19=0,0,IF(Inputs!$D36="Open",F$1,IF(Inputs!$D36="Close",ROUND(F$2*1440-F$3*60,0)/1440,IF(OR(INT((M19-1)/Inputs!$B$7)=0,(INT((M$3-1-MOD(M19-1,Inputs!$B$7))/Inputs!$B$7)+1)&lt;=1),F$1,IF(INT((M19-1)/Inputs!$B$7)&gt;=(INT((M$3-1-MOD(M19-1,Inputs!$B$7))/Inputs!$B$7)+1)-1,ROUND(F$2*1440-F$3*60,0)/1440,MAX(F$1,MIN(ROUND(F$2*1440-F$3*60,0)/1440,ROUND((F$1+INT((M19-1)/Inputs!$B$7)/((INT((M$3-1-MOD(M19-1,Inputs!$B$7))/Inputs!$B$7)+1)-1)*((ROUND(F$2*1440-F$3*60,0)/1440)-F$1))*96,0)/96)))))))</f>
        <v>0</v>
      </c>
      <c r="U19" s="18" t="n">
        <f aca="false">IF(G19=0,0,IF(Inputs!$D36="Open",G$1,IF(Inputs!$D36="Close",ROUND(G$2*1440-G$3*60,0)/1440,IF(OR(INT((N19-1)/Inputs!$B$7)=0,(INT((N$3-1-MOD(N19-1,Inputs!$B$7))/Inputs!$B$7)+1)&lt;=1),G$1,IF(INT((N19-1)/Inputs!$B$7)&gt;=(INT((N$3-1-MOD(N19-1,Inputs!$B$7))/Inputs!$B$7)+1)-1,ROUND(G$2*1440-G$3*60,0)/1440,MAX(G$1,MIN(ROUND(G$2*1440-G$3*60,0)/1440,ROUND((G$1+INT((N19-1)/Inputs!$B$7)/((INT((N$3-1-MOD(N19-1,Inputs!$B$7))/Inputs!$B$7)+1)-1)*((ROUND(G$2*1440-G$3*60,0)/1440)-G$1))*96,0)/96)))))))</f>
        <v>0</v>
      </c>
      <c r="V19" s="18" t="n">
        <f aca="false">IF(H19=0,0,IF(Inputs!$D36="Open",H$1,IF(Inputs!$D36="Close",ROUND(H$2*1440-H$3*60,0)/1440,IF(OR(INT((O19-1)/Inputs!$B$7)=0,(INT((O$3-1-MOD(O19-1,Inputs!$B$7))/Inputs!$B$7)+1)&lt;=1),H$1,IF(INT((O19-1)/Inputs!$B$7)&gt;=(INT((O$3-1-MOD(O19-1,Inputs!$B$7))/Inputs!$B$7)+1)-1,ROUND(H$2*1440-H$3*60,0)/1440,MAX(H$1,MIN(ROUND(H$2*1440-H$3*60,0)/1440,ROUND((H$1+INT((O19-1)/Inputs!$B$7)/((INT((O$3-1-MOD(O19-1,Inputs!$B$7))/Inputs!$B$7)+1)-1)*((ROUND(H$2*1440-H$3*60,0)/1440)-H$1))*96,0)/96)))))))</f>
        <v>0</v>
      </c>
      <c r="W19" s="18" t="n">
        <f aca="false">IF(I19=0,0,IF(Inputs!$D36="Open",I$1,IF(Inputs!$D36="Close",ROUND(I$2*1440-I$3*60,0)/1440,IF(OR(INT((P19-1)/Inputs!$B$7)=0,(INT((P$3-1-MOD(P19-1,Inputs!$B$7))/Inputs!$B$7)+1)&lt;=1),I$1,IF(INT((P19-1)/Inputs!$B$7)&gt;=(INT((P$3-1-MOD(P19-1,Inputs!$B$7))/Inputs!$B$7)+1)-1,ROUND(I$2*1440-I$3*60,0)/1440,MAX(I$1,MIN(ROUND(I$2*1440-I$3*60,0)/1440,ROUND((I$1+INT((P19-1)/Inputs!$B$7)/((INT((P$3-1-MOD(P19-1,Inputs!$B$7))/Inputs!$B$7)+1)-1)*((ROUND(I$2*1440-I$3*60,0)/1440)-I$1))*96,0)/96)))))))</f>
        <v>0</v>
      </c>
      <c r="X19" s="18" t="n">
        <f aca="false">IF(J19=0,0,IF(Inputs!$D36="Open",J$1,IF(Inputs!$D36="Close",ROUND(J$2*1440-J$3*60,0)/1440,IF(OR(INT((Q19-1)/Inputs!$B$7)=0,(INT((Q$3-1-MOD(Q19-1,Inputs!$B$7))/Inputs!$B$7)+1)&lt;=1),J$1,IF(INT((Q19-1)/Inputs!$B$7)&gt;=(INT((Q$3-1-MOD(Q19-1,Inputs!$B$7))/Inputs!$B$7)+1)-1,ROUND(J$2*1440-J$3*60,0)/1440,MAX(J$1,MIN(ROUND(J$2*1440-J$3*60,0)/1440,ROUND((J$1+INT((Q19-1)/Inputs!$B$7)/((INT((Q$3-1-MOD(Q19-1,Inputs!$B$7))/Inputs!$B$7)+1)-1)*((ROUND(J$2*1440-J$3*60,0)/1440)-J$1))*96,0)/96)))))))</f>
        <v>0</v>
      </c>
      <c r="Y19" s="18" t="n">
        <f aca="false">IF(K19=0,0,IF(Inputs!$D36="Open",K$1,IF(Inputs!$D36="Close",ROUND(K$2*1440-K$3*60,0)/1440,IF(OR(INT((R19-1)/Inputs!$B$7)=0,(INT((R$3-1-MOD(R19-1,Inputs!$B$7))/Inputs!$B$7)+1)&lt;=1),K$1,IF(INT((R19-1)/Inputs!$B$7)&gt;=(INT((R$3-1-MOD(R19-1,Inputs!$B$7))/Inputs!$B$7)+1)-1,ROUND(K$2*1440-K$3*60,0)/1440,MAX(K$1,MIN(ROUND(K$2*1440-K$3*60,0)/1440,ROUND((K$1+INT((R19-1)/Inputs!$B$7)/((INT((R$3-1-MOD(R19-1,Inputs!$B$7))/Inputs!$B$7)+1)-1)*((ROUND(K$2*1440-K$3*60,0)/1440)-K$1))*96,0)/96)))))))</f>
        <v>0</v>
      </c>
      <c r="Z19" s="18" t="n">
        <f aca="false">IF(L19=0,0,IF(Inputs!$D36="Open",L$1,IF(Inputs!$D36="Close",ROUND(L$2*1440-L$3*60,0)/1440,IF(OR(INT((S19-1)/Inputs!$B$7)=0,(INT((S$3-1-MOD(S19-1,Inputs!$B$7))/Inputs!$B$7)+1)&lt;=1),L$1,IF(INT((S19-1)/Inputs!$B$7)&gt;=(INT((S$3-1-MOD(S19-1,Inputs!$B$7))/Inputs!$B$7)+1)-1,ROUND(L$2*1440-L$3*60,0)/1440,MAX(L$1,MIN(ROUND(L$2*1440-L$3*60,0)/1440,ROUND((L$1+INT((S19-1)/Inputs!$B$7)/((INT((S$3-1-MOD(S19-1,Inputs!$B$7))/Inputs!$B$7)+1)-1)*((ROUND(L$2*1440-L$3*60,0)/1440)-L$1))*96,0)/96)))))))</f>
        <v>0</v>
      </c>
      <c r="AA19" s="18" t="n">
        <f aca="false">IF(F19=0,0,ROUND(T19*1440+F$3*60,0)/1440)</f>
        <v>0</v>
      </c>
      <c r="AB19" s="18" t="n">
        <f aca="false">IF(G19=0,0,ROUND(U19*1440+G$3*60,0)/1440)</f>
        <v>0</v>
      </c>
      <c r="AC19" s="18" t="n">
        <f aca="false">IF(H19=0,0,ROUND(V19*1440+H$3*60,0)/1440)</f>
        <v>0</v>
      </c>
      <c r="AD19" s="18" t="n">
        <f aca="false">IF(I19=0,0,ROUND(W19*1440+I$3*60,0)/1440)</f>
        <v>0</v>
      </c>
      <c r="AE19" s="18" t="n">
        <f aca="false">IF(J19=0,0,ROUND(X19*1440+J$3*60,0)/1440)</f>
        <v>0</v>
      </c>
      <c r="AF19" s="18" t="n">
        <f aca="false">IF(K19=0,0,ROUND(Y19*1440+K$3*60,0)/1440)</f>
        <v>0</v>
      </c>
      <c r="AG19" s="18" t="n">
        <f aca="false">IF(L19=0,0,ROUND(Z19*1440+L$3*60,0)/1440)</f>
        <v>0</v>
      </c>
      <c r="AH19" s="19" t="n">
        <f aca="false">SUMPRODUCT((MOD(AO$1:AU$1-0,7)&lt;Inputs!$B$6)*AO$2:AU$2*(AO18:AU18+1))*100+MOD(0-5,7)</f>
        <v>1602</v>
      </c>
      <c r="AI19" s="19" t="n">
        <f aca="false">SUMPRODUCT((MOD(AO$1:AU$1-1,7)&lt;Inputs!$B$6)*AO$2:AU$2*(AO18:AU18+1))*100+MOD(1-5,7)</f>
        <v>1403</v>
      </c>
      <c r="AJ19" s="19" t="n">
        <f aca="false">SUMPRODUCT((MOD(AO$1:AU$1-2,7)&lt;Inputs!$B$6)*AO$2:AU$2*(AO18:AU18+1))*100+MOD(2-5,7)</f>
        <v>1404</v>
      </c>
      <c r="AK19" s="19" t="n">
        <f aca="false">SUMPRODUCT((MOD(AO$1:AU$1-3,7)&lt;Inputs!$B$6)*AO$2:AU$2*(AO18:AU18+1))*100+MOD(3-5,7)</f>
        <v>1405</v>
      </c>
      <c r="AL19" s="19" t="n">
        <f aca="false">SUMPRODUCT((MOD(AO$1:AU$1-4,7)&lt;Inputs!$B$6)*AO$2:AU$2*(AO18:AU18+1))*100+MOD(4-5,7)</f>
        <v>1406</v>
      </c>
      <c r="AM19" s="19" t="n">
        <f aca="false">SUMPRODUCT((MOD(AO$1:AU$1-5,7)&lt;Inputs!$B$6)*AO$2:AU$2*(AO18:AU18+1))*100+MOD(5-5,7)</f>
        <v>1800</v>
      </c>
      <c r="AN19" s="19" t="n">
        <f aca="false">SUMPRODUCT((MOD(AO$1:AU$1-6,7)&lt;Inputs!$B$6)*AO$2:AU$2*(AO18:AU18+1))*100+MOD(6-5,7)</f>
        <v>1801</v>
      </c>
      <c r="AO19" s="19" t="n">
        <f aca="false">AO18+IF($B19=1,IF(MOD(0-$D19,7)&lt;Inputs!$B$6,1,0),0)</f>
        <v>3</v>
      </c>
      <c r="AP19" s="19" t="n">
        <f aca="false">AP18+IF($B19=1,IF(MOD(1-$D19,7)&lt;Inputs!$B$6,1,0),0)</f>
        <v>3</v>
      </c>
      <c r="AQ19" s="19" t="n">
        <f aca="false">AQ18+IF($B19=1,IF(MOD(2-$D19,7)&lt;Inputs!$B$6,1,0),0)</f>
        <v>2</v>
      </c>
      <c r="AR19" s="19" t="n">
        <f aca="false">AR18+IF($B19=1,IF(MOD(3-$D19,7)&lt;Inputs!$B$6,1,0),0)</f>
        <v>3</v>
      </c>
      <c r="AS19" s="19" t="n">
        <f aca="false">AS18+IF($B19=1,IF(MOD(4-$D19,7)&lt;Inputs!$B$6,1,0),0)</f>
        <v>2</v>
      </c>
      <c r="AT19" s="19" t="n">
        <f aca="false">AT18+IF($B19=1,IF(MOD(5-$D19,7)&lt;Inputs!$B$6,1,0),0)</f>
        <v>3</v>
      </c>
      <c r="AU19" s="19" t="n">
        <f aca="false">AU18+IF($B19=1,IF(MOD(6-$D19,7)&lt;Inputs!$B$6,1,0),0)</f>
        <v>4</v>
      </c>
    </row>
    <row r="20" customFormat="false" ht="15" hidden="false" customHeight="false" outlineLevel="0" collapsed="false">
      <c r="A20" s="0" t="n">
        <v>15</v>
      </c>
      <c r="B20" s="0" t="n">
        <f aca="false">IF(A20&lt;=Inputs!$B$3,1,0)</f>
        <v>0</v>
      </c>
      <c r="C20" s="0" t="n">
        <f aca="false">MOD(5+MOD(A20-1,7),7)</f>
        <v>5</v>
      </c>
      <c r="D20" s="0" t="n">
        <f aca="false">IF(Inputs!C37&lt;&gt;"",MATCH(Inputs!C37,Inputs!$A$11:$A$17,0)-1,IF(B20=0,0,MATCH(MIN(AH20:AN20),AH20:AN20,0)-1))</f>
        <v>0</v>
      </c>
      <c r="F20" s="0" t="n">
        <f aca="false">IF(OR($B20=0,F$3=0),0,IF(MOD(0-$D20,7)&lt;Inputs!$B$6,0,1))</f>
        <v>0</v>
      </c>
      <c r="G20" s="0" t="n">
        <f aca="false">IF(OR($B20=0,G$3=0),0,IF(MOD(1-$D20,7)&lt;Inputs!$B$6,0,1))</f>
        <v>0</v>
      </c>
      <c r="H20" s="0" t="n">
        <f aca="false">IF(OR($B20=0,H$3=0),0,IF(MOD(2-$D20,7)&lt;Inputs!$B$6,0,1))</f>
        <v>0</v>
      </c>
      <c r="I20" s="0" t="n">
        <f aca="false">IF(OR($B20=0,I$3=0),0,IF(MOD(3-$D20,7)&lt;Inputs!$B$6,0,1))</f>
        <v>0</v>
      </c>
      <c r="J20" s="0" t="n">
        <f aca="false">IF(OR($B20=0,J$3=0),0,IF(MOD(4-$D20,7)&lt;Inputs!$B$6,0,1))</f>
        <v>0</v>
      </c>
      <c r="K20" s="0" t="n">
        <f aca="false">IF(OR($B20=0,K$3=0),0,IF(MOD(5-$D20,7)&lt;Inputs!$B$6,0,1))</f>
        <v>0</v>
      </c>
      <c r="L20" s="0" t="n">
        <f aca="false">IF(OR($B20=0,L$3=0),0,IF(MOD(6-$D20,7)&lt;Inputs!$B$6,0,1))</f>
        <v>0</v>
      </c>
      <c r="M20" s="0" t="n">
        <f aca="false">SUM(F$6:F20)</f>
        <v>7</v>
      </c>
      <c r="N20" s="0" t="n">
        <f aca="false">SUM(G$6:G20)</f>
        <v>7</v>
      </c>
      <c r="O20" s="0" t="n">
        <f aca="false">SUM(H$6:H20)</f>
        <v>8</v>
      </c>
      <c r="P20" s="0" t="n">
        <f aca="false">SUM(I$6:I20)</f>
        <v>7</v>
      </c>
      <c r="Q20" s="0" t="n">
        <f aca="false">SUM(J$6:J20)</f>
        <v>8</v>
      </c>
      <c r="R20" s="0" t="n">
        <f aca="false">SUM(K$6:K20)</f>
        <v>7</v>
      </c>
      <c r="S20" s="0" t="n">
        <f aca="false">SUM(L$6:L20)</f>
        <v>6</v>
      </c>
      <c r="T20" s="18" t="n">
        <f aca="false">IF(F20=0,0,IF(Inputs!$D37="Open",F$1,IF(Inputs!$D37="Close",ROUND(F$2*1440-F$3*60,0)/1440,IF(OR(INT((M20-1)/Inputs!$B$7)=0,(INT((M$3-1-MOD(M20-1,Inputs!$B$7))/Inputs!$B$7)+1)&lt;=1),F$1,IF(INT((M20-1)/Inputs!$B$7)&gt;=(INT((M$3-1-MOD(M20-1,Inputs!$B$7))/Inputs!$B$7)+1)-1,ROUND(F$2*1440-F$3*60,0)/1440,MAX(F$1,MIN(ROUND(F$2*1440-F$3*60,0)/1440,ROUND((F$1+INT((M20-1)/Inputs!$B$7)/((INT((M$3-1-MOD(M20-1,Inputs!$B$7))/Inputs!$B$7)+1)-1)*((ROUND(F$2*1440-F$3*60,0)/1440)-F$1))*96,0)/96)))))))</f>
        <v>0</v>
      </c>
      <c r="U20" s="18" t="n">
        <f aca="false">IF(G20=0,0,IF(Inputs!$D37="Open",G$1,IF(Inputs!$D37="Close",ROUND(G$2*1440-G$3*60,0)/1440,IF(OR(INT((N20-1)/Inputs!$B$7)=0,(INT((N$3-1-MOD(N20-1,Inputs!$B$7))/Inputs!$B$7)+1)&lt;=1),G$1,IF(INT((N20-1)/Inputs!$B$7)&gt;=(INT((N$3-1-MOD(N20-1,Inputs!$B$7))/Inputs!$B$7)+1)-1,ROUND(G$2*1440-G$3*60,0)/1440,MAX(G$1,MIN(ROUND(G$2*1440-G$3*60,0)/1440,ROUND((G$1+INT((N20-1)/Inputs!$B$7)/((INT((N$3-1-MOD(N20-1,Inputs!$B$7))/Inputs!$B$7)+1)-1)*((ROUND(G$2*1440-G$3*60,0)/1440)-G$1))*96,0)/96)))))))</f>
        <v>0</v>
      </c>
      <c r="V20" s="18" t="n">
        <f aca="false">IF(H20=0,0,IF(Inputs!$D37="Open",H$1,IF(Inputs!$D37="Close",ROUND(H$2*1440-H$3*60,0)/1440,IF(OR(INT((O20-1)/Inputs!$B$7)=0,(INT((O$3-1-MOD(O20-1,Inputs!$B$7))/Inputs!$B$7)+1)&lt;=1),H$1,IF(INT((O20-1)/Inputs!$B$7)&gt;=(INT((O$3-1-MOD(O20-1,Inputs!$B$7))/Inputs!$B$7)+1)-1,ROUND(H$2*1440-H$3*60,0)/1440,MAX(H$1,MIN(ROUND(H$2*1440-H$3*60,0)/1440,ROUND((H$1+INT((O20-1)/Inputs!$B$7)/((INT((O$3-1-MOD(O20-1,Inputs!$B$7))/Inputs!$B$7)+1)-1)*((ROUND(H$2*1440-H$3*60,0)/1440)-H$1))*96,0)/96)))))))</f>
        <v>0</v>
      </c>
      <c r="W20" s="18" t="n">
        <f aca="false">IF(I20=0,0,IF(Inputs!$D37="Open",I$1,IF(Inputs!$D37="Close",ROUND(I$2*1440-I$3*60,0)/1440,IF(OR(INT((P20-1)/Inputs!$B$7)=0,(INT((P$3-1-MOD(P20-1,Inputs!$B$7))/Inputs!$B$7)+1)&lt;=1),I$1,IF(INT((P20-1)/Inputs!$B$7)&gt;=(INT((P$3-1-MOD(P20-1,Inputs!$B$7))/Inputs!$B$7)+1)-1,ROUND(I$2*1440-I$3*60,0)/1440,MAX(I$1,MIN(ROUND(I$2*1440-I$3*60,0)/1440,ROUND((I$1+INT((P20-1)/Inputs!$B$7)/((INT((P$3-1-MOD(P20-1,Inputs!$B$7))/Inputs!$B$7)+1)-1)*((ROUND(I$2*1440-I$3*60,0)/1440)-I$1))*96,0)/96)))))))</f>
        <v>0</v>
      </c>
      <c r="X20" s="18" t="n">
        <f aca="false">IF(J20=0,0,IF(Inputs!$D37="Open",J$1,IF(Inputs!$D37="Close",ROUND(J$2*1440-J$3*60,0)/1440,IF(OR(INT((Q20-1)/Inputs!$B$7)=0,(INT((Q$3-1-MOD(Q20-1,Inputs!$B$7))/Inputs!$B$7)+1)&lt;=1),J$1,IF(INT((Q20-1)/Inputs!$B$7)&gt;=(INT((Q$3-1-MOD(Q20-1,Inputs!$B$7))/Inputs!$B$7)+1)-1,ROUND(J$2*1440-J$3*60,0)/1440,MAX(J$1,MIN(ROUND(J$2*1440-J$3*60,0)/1440,ROUND((J$1+INT((Q20-1)/Inputs!$B$7)/((INT((Q$3-1-MOD(Q20-1,Inputs!$B$7))/Inputs!$B$7)+1)-1)*((ROUND(J$2*1440-J$3*60,0)/1440)-J$1))*96,0)/96)))))))</f>
        <v>0</v>
      </c>
      <c r="Y20" s="18" t="n">
        <f aca="false">IF(K20=0,0,IF(Inputs!$D37="Open",K$1,IF(Inputs!$D37="Close",ROUND(K$2*1440-K$3*60,0)/1440,IF(OR(INT((R20-1)/Inputs!$B$7)=0,(INT((R$3-1-MOD(R20-1,Inputs!$B$7))/Inputs!$B$7)+1)&lt;=1),K$1,IF(INT((R20-1)/Inputs!$B$7)&gt;=(INT((R$3-1-MOD(R20-1,Inputs!$B$7))/Inputs!$B$7)+1)-1,ROUND(K$2*1440-K$3*60,0)/1440,MAX(K$1,MIN(ROUND(K$2*1440-K$3*60,0)/1440,ROUND((K$1+INT((R20-1)/Inputs!$B$7)/((INT((R$3-1-MOD(R20-1,Inputs!$B$7))/Inputs!$B$7)+1)-1)*((ROUND(K$2*1440-K$3*60,0)/1440)-K$1))*96,0)/96)))))))</f>
        <v>0</v>
      </c>
      <c r="Z20" s="18" t="n">
        <f aca="false">IF(L20=0,0,IF(Inputs!$D37="Open",L$1,IF(Inputs!$D37="Close",ROUND(L$2*1440-L$3*60,0)/1440,IF(OR(INT((S20-1)/Inputs!$B$7)=0,(INT((S$3-1-MOD(S20-1,Inputs!$B$7))/Inputs!$B$7)+1)&lt;=1),L$1,IF(INT((S20-1)/Inputs!$B$7)&gt;=(INT((S$3-1-MOD(S20-1,Inputs!$B$7))/Inputs!$B$7)+1)-1,ROUND(L$2*1440-L$3*60,0)/1440,MAX(L$1,MIN(ROUND(L$2*1440-L$3*60,0)/1440,ROUND((L$1+INT((S20-1)/Inputs!$B$7)/((INT((S$3-1-MOD(S20-1,Inputs!$B$7))/Inputs!$B$7)+1)-1)*((ROUND(L$2*1440-L$3*60,0)/1440)-L$1))*96,0)/96)))))))</f>
        <v>0</v>
      </c>
      <c r="AA20" s="18" t="n">
        <f aca="false">IF(F20=0,0,ROUND(T20*1440+F$3*60,0)/1440)</f>
        <v>0</v>
      </c>
      <c r="AB20" s="18" t="n">
        <f aca="false">IF(G20=0,0,ROUND(U20*1440+G$3*60,0)/1440)</f>
        <v>0</v>
      </c>
      <c r="AC20" s="18" t="n">
        <f aca="false">IF(H20=0,0,ROUND(V20*1440+H$3*60,0)/1440)</f>
        <v>0</v>
      </c>
      <c r="AD20" s="18" t="n">
        <f aca="false">IF(I20=0,0,ROUND(W20*1440+I$3*60,0)/1440)</f>
        <v>0</v>
      </c>
      <c r="AE20" s="18" t="n">
        <f aca="false">IF(J20=0,0,ROUND(X20*1440+J$3*60,0)/1440)</f>
        <v>0</v>
      </c>
      <c r="AF20" s="18" t="n">
        <f aca="false">IF(K20=0,0,ROUND(Y20*1440+K$3*60,0)/1440)</f>
        <v>0</v>
      </c>
      <c r="AG20" s="18" t="n">
        <f aca="false">IF(L20=0,0,ROUND(Z20*1440+L$3*60,0)/1440)</f>
        <v>0</v>
      </c>
      <c r="AH20" s="19" t="n">
        <f aca="false">SUMPRODUCT((MOD(AO$1:AU$1-0,7)&lt;Inputs!$B$6)*AO$2:AU$2*(AO19:AU19+1))*100+MOD(0-5,7)</f>
        <v>1602</v>
      </c>
      <c r="AI20" s="19" t="n">
        <f aca="false">SUMPRODUCT((MOD(AO$1:AU$1-1,7)&lt;Inputs!$B$6)*AO$2:AU$2*(AO19:AU19+1))*100+MOD(1-5,7)</f>
        <v>1403</v>
      </c>
      <c r="AJ20" s="19" t="n">
        <f aca="false">SUMPRODUCT((MOD(AO$1:AU$1-2,7)&lt;Inputs!$B$6)*AO$2:AU$2*(AO19:AU19+1))*100+MOD(2-5,7)</f>
        <v>1404</v>
      </c>
      <c r="AK20" s="19" t="n">
        <f aca="false">SUMPRODUCT((MOD(AO$1:AU$1-3,7)&lt;Inputs!$B$6)*AO$2:AU$2*(AO19:AU19+1))*100+MOD(3-5,7)</f>
        <v>1405</v>
      </c>
      <c r="AL20" s="19" t="n">
        <f aca="false">SUMPRODUCT((MOD(AO$1:AU$1-4,7)&lt;Inputs!$B$6)*AO$2:AU$2*(AO19:AU19+1))*100+MOD(4-5,7)</f>
        <v>1406</v>
      </c>
      <c r="AM20" s="19" t="n">
        <f aca="false">SUMPRODUCT((MOD(AO$1:AU$1-5,7)&lt;Inputs!$B$6)*AO$2:AU$2*(AO19:AU19+1))*100+MOD(5-5,7)</f>
        <v>1800</v>
      </c>
      <c r="AN20" s="19" t="n">
        <f aca="false">SUMPRODUCT((MOD(AO$1:AU$1-6,7)&lt;Inputs!$B$6)*AO$2:AU$2*(AO19:AU19+1))*100+MOD(6-5,7)</f>
        <v>1801</v>
      </c>
      <c r="AO20" s="19" t="n">
        <f aca="false">AO19+IF($B20=1,IF(MOD(0-$D20,7)&lt;Inputs!$B$6,1,0),0)</f>
        <v>3</v>
      </c>
      <c r="AP20" s="19" t="n">
        <f aca="false">AP19+IF($B20=1,IF(MOD(1-$D20,7)&lt;Inputs!$B$6,1,0),0)</f>
        <v>3</v>
      </c>
      <c r="AQ20" s="19" t="n">
        <f aca="false">AQ19+IF($B20=1,IF(MOD(2-$D20,7)&lt;Inputs!$B$6,1,0),0)</f>
        <v>2</v>
      </c>
      <c r="AR20" s="19" t="n">
        <f aca="false">AR19+IF($B20=1,IF(MOD(3-$D20,7)&lt;Inputs!$B$6,1,0),0)</f>
        <v>3</v>
      </c>
      <c r="AS20" s="19" t="n">
        <f aca="false">AS19+IF($B20=1,IF(MOD(4-$D20,7)&lt;Inputs!$B$6,1,0),0)</f>
        <v>2</v>
      </c>
      <c r="AT20" s="19" t="n">
        <f aca="false">AT19+IF($B20=1,IF(MOD(5-$D20,7)&lt;Inputs!$B$6,1,0),0)</f>
        <v>3</v>
      </c>
      <c r="AU20" s="19" t="n">
        <f aca="false">AU19+IF($B20=1,IF(MOD(6-$D20,7)&lt;Inputs!$B$6,1,0),0)</f>
        <v>4</v>
      </c>
    </row>
    <row r="21" customFormat="false" ht="15" hidden="false" customHeight="false" outlineLevel="0" collapsed="false">
      <c r="A21" s="0" t="n">
        <v>16</v>
      </c>
      <c r="B21" s="0" t="n">
        <f aca="false">IF(A21&lt;=Inputs!$B$3,1,0)</f>
        <v>0</v>
      </c>
      <c r="C21" s="0" t="n">
        <f aca="false">MOD(5+MOD(A21-1,7),7)</f>
        <v>6</v>
      </c>
      <c r="D21" s="0" t="n">
        <f aca="false">IF(Inputs!C38&lt;&gt;"",MATCH(Inputs!C38,Inputs!$A$11:$A$17,0)-1,IF(B21=0,0,MATCH(MIN(AH21:AN21),AH21:AN21,0)-1))</f>
        <v>0</v>
      </c>
      <c r="F21" s="0" t="n">
        <f aca="false">IF(OR($B21=0,F$3=0),0,IF(MOD(0-$D21,7)&lt;Inputs!$B$6,0,1))</f>
        <v>0</v>
      </c>
      <c r="G21" s="0" t="n">
        <f aca="false">IF(OR($B21=0,G$3=0),0,IF(MOD(1-$D21,7)&lt;Inputs!$B$6,0,1))</f>
        <v>0</v>
      </c>
      <c r="H21" s="0" t="n">
        <f aca="false">IF(OR($B21=0,H$3=0),0,IF(MOD(2-$D21,7)&lt;Inputs!$B$6,0,1))</f>
        <v>0</v>
      </c>
      <c r="I21" s="0" t="n">
        <f aca="false">IF(OR($B21=0,I$3=0),0,IF(MOD(3-$D21,7)&lt;Inputs!$B$6,0,1))</f>
        <v>0</v>
      </c>
      <c r="J21" s="0" t="n">
        <f aca="false">IF(OR($B21=0,J$3=0),0,IF(MOD(4-$D21,7)&lt;Inputs!$B$6,0,1))</f>
        <v>0</v>
      </c>
      <c r="K21" s="0" t="n">
        <f aca="false">IF(OR($B21=0,K$3=0),0,IF(MOD(5-$D21,7)&lt;Inputs!$B$6,0,1))</f>
        <v>0</v>
      </c>
      <c r="L21" s="0" t="n">
        <f aca="false">IF(OR($B21=0,L$3=0),0,IF(MOD(6-$D21,7)&lt;Inputs!$B$6,0,1))</f>
        <v>0</v>
      </c>
      <c r="M21" s="0" t="n">
        <f aca="false">SUM(F$6:F21)</f>
        <v>7</v>
      </c>
      <c r="N21" s="0" t="n">
        <f aca="false">SUM(G$6:G21)</f>
        <v>7</v>
      </c>
      <c r="O21" s="0" t="n">
        <f aca="false">SUM(H$6:H21)</f>
        <v>8</v>
      </c>
      <c r="P21" s="0" t="n">
        <f aca="false">SUM(I$6:I21)</f>
        <v>7</v>
      </c>
      <c r="Q21" s="0" t="n">
        <f aca="false">SUM(J$6:J21)</f>
        <v>8</v>
      </c>
      <c r="R21" s="0" t="n">
        <f aca="false">SUM(K$6:K21)</f>
        <v>7</v>
      </c>
      <c r="S21" s="0" t="n">
        <f aca="false">SUM(L$6:L21)</f>
        <v>6</v>
      </c>
      <c r="T21" s="18" t="n">
        <f aca="false">IF(F21=0,0,IF(Inputs!$D38="Open",F$1,IF(Inputs!$D38="Close",ROUND(F$2*1440-F$3*60,0)/1440,IF(OR(INT((M21-1)/Inputs!$B$7)=0,(INT((M$3-1-MOD(M21-1,Inputs!$B$7))/Inputs!$B$7)+1)&lt;=1),F$1,IF(INT((M21-1)/Inputs!$B$7)&gt;=(INT((M$3-1-MOD(M21-1,Inputs!$B$7))/Inputs!$B$7)+1)-1,ROUND(F$2*1440-F$3*60,0)/1440,MAX(F$1,MIN(ROUND(F$2*1440-F$3*60,0)/1440,ROUND((F$1+INT((M21-1)/Inputs!$B$7)/((INT((M$3-1-MOD(M21-1,Inputs!$B$7))/Inputs!$B$7)+1)-1)*((ROUND(F$2*1440-F$3*60,0)/1440)-F$1))*96,0)/96)))))))</f>
        <v>0</v>
      </c>
      <c r="U21" s="18" t="n">
        <f aca="false">IF(G21=0,0,IF(Inputs!$D38="Open",G$1,IF(Inputs!$D38="Close",ROUND(G$2*1440-G$3*60,0)/1440,IF(OR(INT((N21-1)/Inputs!$B$7)=0,(INT((N$3-1-MOD(N21-1,Inputs!$B$7))/Inputs!$B$7)+1)&lt;=1),G$1,IF(INT((N21-1)/Inputs!$B$7)&gt;=(INT((N$3-1-MOD(N21-1,Inputs!$B$7))/Inputs!$B$7)+1)-1,ROUND(G$2*1440-G$3*60,0)/1440,MAX(G$1,MIN(ROUND(G$2*1440-G$3*60,0)/1440,ROUND((G$1+INT((N21-1)/Inputs!$B$7)/((INT((N$3-1-MOD(N21-1,Inputs!$B$7))/Inputs!$B$7)+1)-1)*((ROUND(G$2*1440-G$3*60,0)/1440)-G$1))*96,0)/96)))))))</f>
        <v>0</v>
      </c>
      <c r="V21" s="18" t="n">
        <f aca="false">IF(H21=0,0,IF(Inputs!$D38="Open",H$1,IF(Inputs!$D38="Close",ROUND(H$2*1440-H$3*60,0)/1440,IF(OR(INT((O21-1)/Inputs!$B$7)=0,(INT((O$3-1-MOD(O21-1,Inputs!$B$7))/Inputs!$B$7)+1)&lt;=1),H$1,IF(INT((O21-1)/Inputs!$B$7)&gt;=(INT((O$3-1-MOD(O21-1,Inputs!$B$7))/Inputs!$B$7)+1)-1,ROUND(H$2*1440-H$3*60,0)/1440,MAX(H$1,MIN(ROUND(H$2*1440-H$3*60,0)/1440,ROUND((H$1+INT((O21-1)/Inputs!$B$7)/((INT((O$3-1-MOD(O21-1,Inputs!$B$7))/Inputs!$B$7)+1)-1)*((ROUND(H$2*1440-H$3*60,0)/1440)-H$1))*96,0)/96)))))))</f>
        <v>0</v>
      </c>
      <c r="W21" s="18" t="n">
        <f aca="false">IF(I21=0,0,IF(Inputs!$D38="Open",I$1,IF(Inputs!$D38="Close",ROUND(I$2*1440-I$3*60,0)/1440,IF(OR(INT((P21-1)/Inputs!$B$7)=0,(INT((P$3-1-MOD(P21-1,Inputs!$B$7))/Inputs!$B$7)+1)&lt;=1),I$1,IF(INT((P21-1)/Inputs!$B$7)&gt;=(INT((P$3-1-MOD(P21-1,Inputs!$B$7))/Inputs!$B$7)+1)-1,ROUND(I$2*1440-I$3*60,0)/1440,MAX(I$1,MIN(ROUND(I$2*1440-I$3*60,0)/1440,ROUND((I$1+INT((P21-1)/Inputs!$B$7)/((INT((P$3-1-MOD(P21-1,Inputs!$B$7))/Inputs!$B$7)+1)-1)*((ROUND(I$2*1440-I$3*60,0)/1440)-I$1))*96,0)/96)))))))</f>
        <v>0</v>
      </c>
      <c r="X21" s="18" t="n">
        <f aca="false">IF(J21=0,0,IF(Inputs!$D38="Open",J$1,IF(Inputs!$D38="Close",ROUND(J$2*1440-J$3*60,0)/1440,IF(OR(INT((Q21-1)/Inputs!$B$7)=0,(INT((Q$3-1-MOD(Q21-1,Inputs!$B$7))/Inputs!$B$7)+1)&lt;=1),J$1,IF(INT((Q21-1)/Inputs!$B$7)&gt;=(INT((Q$3-1-MOD(Q21-1,Inputs!$B$7))/Inputs!$B$7)+1)-1,ROUND(J$2*1440-J$3*60,0)/1440,MAX(J$1,MIN(ROUND(J$2*1440-J$3*60,0)/1440,ROUND((J$1+INT((Q21-1)/Inputs!$B$7)/((INT((Q$3-1-MOD(Q21-1,Inputs!$B$7))/Inputs!$B$7)+1)-1)*((ROUND(J$2*1440-J$3*60,0)/1440)-J$1))*96,0)/96)))))))</f>
        <v>0</v>
      </c>
      <c r="Y21" s="18" t="n">
        <f aca="false">IF(K21=0,0,IF(Inputs!$D38="Open",K$1,IF(Inputs!$D38="Close",ROUND(K$2*1440-K$3*60,0)/1440,IF(OR(INT((R21-1)/Inputs!$B$7)=0,(INT((R$3-1-MOD(R21-1,Inputs!$B$7))/Inputs!$B$7)+1)&lt;=1),K$1,IF(INT((R21-1)/Inputs!$B$7)&gt;=(INT((R$3-1-MOD(R21-1,Inputs!$B$7))/Inputs!$B$7)+1)-1,ROUND(K$2*1440-K$3*60,0)/1440,MAX(K$1,MIN(ROUND(K$2*1440-K$3*60,0)/1440,ROUND((K$1+INT((R21-1)/Inputs!$B$7)/((INT((R$3-1-MOD(R21-1,Inputs!$B$7))/Inputs!$B$7)+1)-1)*((ROUND(K$2*1440-K$3*60,0)/1440)-K$1))*96,0)/96)))))))</f>
        <v>0</v>
      </c>
      <c r="Z21" s="18" t="n">
        <f aca="false">IF(L21=0,0,IF(Inputs!$D38="Open",L$1,IF(Inputs!$D38="Close",ROUND(L$2*1440-L$3*60,0)/1440,IF(OR(INT((S21-1)/Inputs!$B$7)=0,(INT((S$3-1-MOD(S21-1,Inputs!$B$7))/Inputs!$B$7)+1)&lt;=1),L$1,IF(INT((S21-1)/Inputs!$B$7)&gt;=(INT((S$3-1-MOD(S21-1,Inputs!$B$7))/Inputs!$B$7)+1)-1,ROUND(L$2*1440-L$3*60,0)/1440,MAX(L$1,MIN(ROUND(L$2*1440-L$3*60,0)/1440,ROUND((L$1+INT((S21-1)/Inputs!$B$7)/((INT((S$3-1-MOD(S21-1,Inputs!$B$7))/Inputs!$B$7)+1)-1)*((ROUND(L$2*1440-L$3*60,0)/1440)-L$1))*96,0)/96)))))))</f>
        <v>0</v>
      </c>
      <c r="AA21" s="18" t="n">
        <f aca="false">IF(F21=0,0,ROUND(T21*1440+F$3*60,0)/1440)</f>
        <v>0</v>
      </c>
      <c r="AB21" s="18" t="n">
        <f aca="false">IF(G21=0,0,ROUND(U21*1440+G$3*60,0)/1440)</f>
        <v>0</v>
      </c>
      <c r="AC21" s="18" t="n">
        <f aca="false">IF(H21=0,0,ROUND(V21*1440+H$3*60,0)/1440)</f>
        <v>0</v>
      </c>
      <c r="AD21" s="18" t="n">
        <f aca="false">IF(I21=0,0,ROUND(W21*1440+I$3*60,0)/1440)</f>
        <v>0</v>
      </c>
      <c r="AE21" s="18" t="n">
        <f aca="false">IF(J21=0,0,ROUND(X21*1440+J$3*60,0)/1440)</f>
        <v>0</v>
      </c>
      <c r="AF21" s="18" t="n">
        <f aca="false">IF(K21=0,0,ROUND(Y21*1440+K$3*60,0)/1440)</f>
        <v>0</v>
      </c>
      <c r="AG21" s="18" t="n">
        <f aca="false">IF(L21=0,0,ROUND(Z21*1440+L$3*60,0)/1440)</f>
        <v>0</v>
      </c>
      <c r="AH21" s="19" t="n">
        <f aca="false">SUMPRODUCT((MOD(AO$1:AU$1-0,7)&lt;Inputs!$B$6)*AO$2:AU$2*(AO20:AU20+1))*100+MOD(0-5,7)</f>
        <v>1602</v>
      </c>
      <c r="AI21" s="19" t="n">
        <f aca="false">SUMPRODUCT((MOD(AO$1:AU$1-1,7)&lt;Inputs!$B$6)*AO$2:AU$2*(AO20:AU20+1))*100+MOD(1-5,7)</f>
        <v>1403</v>
      </c>
      <c r="AJ21" s="19" t="n">
        <f aca="false">SUMPRODUCT((MOD(AO$1:AU$1-2,7)&lt;Inputs!$B$6)*AO$2:AU$2*(AO20:AU20+1))*100+MOD(2-5,7)</f>
        <v>1404</v>
      </c>
      <c r="AK21" s="19" t="n">
        <f aca="false">SUMPRODUCT((MOD(AO$1:AU$1-3,7)&lt;Inputs!$B$6)*AO$2:AU$2*(AO20:AU20+1))*100+MOD(3-5,7)</f>
        <v>1405</v>
      </c>
      <c r="AL21" s="19" t="n">
        <f aca="false">SUMPRODUCT((MOD(AO$1:AU$1-4,7)&lt;Inputs!$B$6)*AO$2:AU$2*(AO20:AU20+1))*100+MOD(4-5,7)</f>
        <v>1406</v>
      </c>
      <c r="AM21" s="19" t="n">
        <f aca="false">SUMPRODUCT((MOD(AO$1:AU$1-5,7)&lt;Inputs!$B$6)*AO$2:AU$2*(AO20:AU20+1))*100+MOD(5-5,7)</f>
        <v>1800</v>
      </c>
      <c r="AN21" s="19" t="n">
        <f aca="false">SUMPRODUCT((MOD(AO$1:AU$1-6,7)&lt;Inputs!$B$6)*AO$2:AU$2*(AO20:AU20+1))*100+MOD(6-5,7)</f>
        <v>1801</v>
      </c>
      <c r="AO21" s="19" t="n">
        <f aca="false">AO20+IF($B21=1,IF(MOD(0-$D21,7)&lt;Inputs!$B$6,1,0),0)</f>
        <v>3</v>
      </c>
      <c r="AP21" s="19" t="n">
        <f aca="false">AP20+IF($B21=1,IF(MOD(1-$D21,7)&lt;Inputs!$B$6,1,0),0)</f>
        <v>3</v>
      </c>
      <c r="AQ21" s="19" t="n">
        <f aca="false">AQ20+IF($B21=1,IF(MOD(2-$D21,7)&lt;Inputs!$B$6,1,0),0)</f>
        <v>2</v>
      </c>
      <c r="AR21" s="19" t="n">
        <f aca="false">AR20+IF($B21=1,IF(MOD(3-$D21,7)&lt;Inputs!$B$6,1,0),0)</f>
        <v>3</v>
      </c>
      <c r="AS21" s="19" t="n">
        <f aca="false">AS20+IF($B21=1,IF(MOD(4-$D21,7)&lt;Inputs!$B$6,1,0),0)</f>
        <v>2</v>
      </c>
      <c r="AT21" s="19" t="n">
        <f aca="false">AT20+IF($B21=1,IF(MOD(5-$D21,7)&lt;Inputs!$B$6,1,0),0)</f>
        <v>3</v>
      </c>
      <c r="AU21" s="19" t="n">
        <f aca="false">AU20+IF($B21=1,IF(MOD(6-$D21,7)&lt;Inputs!$B$6,1,0),0)</f>
        <v>4</v>
      </c>
    </row>
    <row r="22" customFormat="false" ht="15" hidden="false" customHeight="false" outlineLevel="0" collapsed="false">
      <c r="A22" s="0" t="n">
        <v>17</v>
      </c>
      <c r="B22" s="0" t="n">
        <f aca="false">IF(A22&lt;=Inputs!$B$3,1,0)</f>
        <v>0</v>
      </c>
      <c r="C22" s="0" t="n">
        <f aca="false">MOD(5+MOD(A22-1,7),7)</f>
        <v>0</v>
      </c>
      <c r="D22" s="0" t="n">
        <f aca="false">IF(Inputs!C39&lt;&gt;"",MATCH(Inputs!C39,Inputs!$A$11:$A$17,0)-1,IF(B22=0,0,MATCH(MIN(AH22:AN22),AH22:AN22,0)-1))</f>
        <v>0</v>
      </c>
      <c r="F22" s="0" t="n">
        <f aca="false">IF(OR($B22=0,F$3=0),0,IF(MOD(0-$D22,7)&lt;Inputs!$B$6,0,1))</f>
        <v>0</v>
      </c>
      <c r="G22" s="0" t="n">
        <f aca="false">IF(OR($B22=0,G$3=0),0,IF(MOD(1-$D22,7)&lt;Inputs!$B$6,0,1))</f>
        <v>0</v>
      </c>
      <c r="H22" s="0" t="n">
        <f aca="false">IF(OR($B22=0,H$3=0),0,IF(MOD(2-$D22,7)&lt;Inputs!$B$6,0,1))</f>
        <v>0</v>
      </c>
      <c r="I22" s="0" t="n">
        <f aca="false">IF(OR($B22=0,I$3=0),0,IF(MOD(3-$D22,7)&lt;Inputs!$B$6,0,1))</f>
        <v>0</v>
      </c>
      <c r="J22" s="0" t="n">
        <f aca="false">IF(OR($B22=0,J$3=0),0,IF(MOD(4-$D22,7)&lt;Inputs!$B$6,0,1))</f>
        <v>0</v>
      </c>
      <c r="K22" s="0" t="n">
        <f aca="false">IF(OR($B22=0,K$3=0),0,IF(MOD(5-$D22,7)&lt;Inputs!$B$6,0,1))</f>
        <v>0</v>
      </c>
      <c r="L22" s="0" t="n">
        <f aca="false">IF(OR($B22=0,L$3=0),0,IF(MOD(6-$D22,7)&lt;Inputs!$B$6,0,1))</f>
        <v>0</v>
      </c>
      <c r="M22" s="0" t="n">
        <f aca="false">SUM(F$6:F22)</f>
        <v>7</v>
      </c>
      <c r="N22" s="0" t="n">
        <f aca="false">SUM(G$6:G22)</f>
        <v>7</v>
      </c>
      <c r="O22" s="0" t="n">
        <f aca="false">SUM(H$6:H22)</f>
        <v>8</v>
      </c>
      <c r="P22" s="0" t="n">
        <f aca="false">SUM(I$6:I22)</f>
        <v>7</v>
      </c>
      <c r="Q22" s="0" t="n">
        <f aca="false">SUM(J$6:J22)</f>
        <v>8</v>
      </c>
      <c r="R22" s="0" t="n">
        <f aca="false">SUM(K$6:K22)</f>
        <v>7</v>
      </c>
      <c r="S22" s="0" t="n">
        <f aca="false">SUM(L$6:L22)</f>
        <v>6</v>
      </c>
      <c r="T22" s="18" t="n">
        <f aca="false">IF(F22=0,0,IF(Inputs!$D39="Open",F$1,IF(Inputs!$D39="Close",ROUND(F$2*1440-F$3*60,0)/1440,IF(OR(INT((M22-1)/Inputs!$B$7)=0,(INT((M$3-1-MOD(M22-1,Inputs!$B$7))/Inputs!$B$7)+1)&lt;=1),F$1,IF(INT((M22-1)/Inputs!$B$7)&gt;=(INT((M$3-1-MOD(M22-1,Inputs!$B$7))/Inputs!$B$7)+1)-1,ROUND(F$2*1440-F$3*60,0)/1440,MAX(F$1,MIN(ROUND(F$2*1440-F$3*60,0)/1440,ROUND((F$1+INT((M22-1)/Inputs!$B$7)/((INT((M$3-1-MOD(M22-1,Inputs!$B$7))/Inputs!$B$7)+1)-1)*((ROUND(F$2*1440-F$3*60,0)/1440)-F$1))*96,0)/96)))))))</f>
        <v>0</v>
      </c>
      <c r="U22" s="18" t="n">
        <f aca="false">IF(G22=0,0,IF(Inputs!$D39="Open",G$1,IF(Inputs!$D39="Close",ROUND(G$2*1440-G$3*60,0)/1440,IF(OR(INT((N22-1)/Inputs!$B$7)=0,(INT((N$3-1-MOD(N22-1,Inputs!$B$7))/Inputs!$B$7)+1)&lt;=1),G$1,IF(INT((N22-1)/Inputs!$B$7)&gt;=(INT((N$3-1-MOD(N22-1,Inputs!$B$7))/Inputs!$B$7)+1)-1,ROUND(G$2*1440-G$3*60,0)/1440,MAX(G$1,MIN(ROUND(G$2*1440-G$3*60,0)/1440,ROUND((G$1+INT((N22-1)/Inputs!$B$7)/((INT((N$3-1-MOD(N22-1,Inputs!$B$7))/Inputs!$B$7)+1)-1)*((ROUND(G$2*1440-G$3*60,0)/1440)-G$1))*96,0)/96)))))))</f>
        <v>0</v>
      </c>
      <c r="V22" s="18" t="n">
        <f aca="false">IF(H22=0,0,IF(Inputs!$D39="Open",H$1,IF(Inputs!$D39="Close",ROUND(H$2*1440-H$3*60,0)/1440,IF(OR(INT((O22-1)/Inputs!$B$7)=0,(INT((O$3-1-MOD(O22-1,Inputs!$B$7))/Inputs!$B$7)+1)&lt;=1),H$1,IF(INT((O22-1)/Inputs!$B$7)&gt;=(INT((O$3-1-MOD(O22-1,Inputs!$B$7))/Inputs!$B$7)+1)-1,ROUND(H$2*1440-H$3*60,0)/1440,MAX(H$1,MIN(ROUND(H$2*1440-H$3*60,0)/1440,ROUND((H$1+INT((O22-1)/Inputs!$B$7)/((INT((O$3-1-MOD(O22-1,Inputs!$B$7))/Inputs!$B$7)+1)-1)*((ROUND(H$2*1440-H$3*60,0)/1440)-H$1))*96,0)/96)))))))</f>
        <v>0</v>
      </c>
      <c r="W22" s="18" t="n">
        <f aca="false">IF(I22=0,0,IF(Inputs!$D39="Open",I$1,IF(Inputs!$D39="Close",ROUND(I$2*1440-I$3*60,0)/1440,IF(OR(INT((P22-1)/Inputs!$B$7)=0,(INT((P$3-1-MOD(P22-1,Inputs!$B$7))/Inputs!$B$7)+1)&lt;=1),I$1,IF(INT((P22-1)/Inputs!$B$7)&gt;=(INT((P$3-1-MOD(P22-1,Inputs!$B$7))/Inputs!$B$7)+1)-1,ROUND(I$2*1440-I$3*60,0)/1440,MAX(I$1,MIN(ROUND(I$2*1440-I$3*60,0)/1440,ROUND((I$1+INT((P22-1)/Inputs!$B$7)/((INT((P$3-1-MOD(P22-1,Inputs!$B$7))/Inputs!$B$7)+1)-1)*((ROUND(I$2*1440-I$3*60,0)/1440)-I$1))*96,0)/96)))))))</f>
        <v>0</v>
      </c>
      <c r="X22" s="18" t="n">
        <f aca="false">IF(J22=0,0,IF(Inputs!$D39="Open",J$1,IF(Inputs!$D39="Close",ROUND(J$2*1440-J$3*60,0)/1440,IF(OR(INT((Q22-1)/Inputs!$B$7)=0,(INT((Q$3-1-MOD(Q22-1,Inputs!$B$7))/Inputs!$B$7)+1)&lt;=1),J$1,IF(INT((Q22-1)/Inputs!$B$7)&gt;=(INT((Q$3-1-MOD(Q22-1,Inputs!$B$7))/Inputs!$B$7)+1)-1,ROUND(J$2*1440-J$3*60,0)/1440,MAX(J$1,MIN(ROUND(J$2*1440-J$3*60,0)/1440,ROUND((J$1+INT((Q22-1)/Inputs!$B$7)/((INT((Q$3-1-MOD(Q22-1,Inputs!$B$7))/Inputs!$B$7)+1)-1)*((ROUND(J$2*1440-J$3*60,0)/1440)-J$1))*96,0)/96)))))))</f>
        <v>0</v>
      </c>
      <c r="Y22" s="18" t="n">
        <f aca="false">IF(K22=0,0,IF(Inputs!$D39="Open",K$1,IF(Inputs!$D39="Close",ROUND(K$2*1440-K$3*60,0)/1440,IF(OR(INT((R22-1)/Inputs!$B$7)=0,(INT((R$3-1-MOD(R22-1,Inputs!$B$7))/Inputs!$B$7)+1)&lt;=1),K$1,IF(INT((R22-1)/Inputs!$B$7)&gt;=(INT((R$3-1-MOD(R22-1,Inputs!$B$7))/Inputs!$B$7)+1)-1,ROUND(K$2*1440-K$3*60,0)/1440,MAX(K$1,MIN(ROUND(K$2*1440-K$3*60,0)/1440,ROUND((K$1+INT((R22-1)/Inputs!$B$7)/((INT((R$3-1-MOD(R22-1,Inputs!$B$7))/Inputs!$B$7)+1)-1)*((ROUND(K$2*1440-K$3*60,0)/1440)-K$1))*96,0)/96)))))))</f>
        <v>0</v>
      </c>
      <c r="Z22" s="18" t="n">
        <f aca="false">IF(L22=0,0,IF(Inputs!$D39="Open",L$1,IF(Inputs!$D39="Close",ROUND(L$2*1440-L$3*60,0)/1440,IF(OR(INT((S22-1)/Inputs!$B$7)=0,(INT((S$3-1-MOD(S22-1,Inputs!$B$7))/Inputs!$B$7)+1)&lt;=1),L$1,IF(INT((S22-1)/Inputs!$B$7)&gt;=(INT((S$3-1-MOD(S22-1,Inputs!$B$7))/Inputs!$B$7)+1)-1,ROUND(L$2*1440-L$3*60,0)/1440,MAX(L$1,MIN(ROUND(L$2*1440-L$3*60,0)/1440,ROUND((L$1+INT((S22-1)/Inputs!$B$7)/((INT((S$3-1-MOD(S22-1,Inputs!$B$7))/Inputs!$B$7)+1)-1)*((ROUND(L$2*1440-L$3*60,0)/1440)-L$1))*96,0)/96)))))))</f>
        <v>0</v>
      </c>
      <c r="AA22" s="18" t="n">
        <f aca="false">IF(F22=0,0,ROUND(T22*1440+F$3*60,0)/1440)</f>
        <v>0</v>
      </c>
      <c r="AB22" s="18" t="n">
        <f aca="false">IF(G22=0,0,ROUND(U22*1440+G$3*60,0)/1440)</f>
        <v>0</v>
      </c>
      <c r="AC22" s="18" t="n">
        <f aca="false">IF(H22=0,0,ROUND(V22*1440+H$3*60,0)/1440)</f>
        <v>0</v>
      </c>
      <c r="AD22" s="18" t="n">
        <f aca="false">IF(I22=0,0,ROUND(W22*1440+I$3*60,0)/1440)</f>
        <v>0</v>
      </c>
      <c r="AE22" s="18" t="n">
        <f aca="false">IF(J22=0,0,ROUND(X22*1440+J$3*60,0)/1440)</f>
        <v>0</v>
      </c>
      <c r="AF22" s="18" t="n">
        <f aca="false">IF(K22=0,0,ROUND(Y22*1440+K$3*60,0)/1440)</f>
        <v>0</v>
      </c>
      <c r="AG22" s="18" t="n">
        <f aca="false">IF(L22=0,0,ROUND(Z22*1440+L$3*60,0)/1440)</f>
        <v>0</v>
      </c>
      <c r="AH22" s="19" t="n">
        <f aca="false">SUMPRODUCT((MOD(AO$1:AU$1-0,7)&lt;Inputs!$B$6)*AO$2:AU$2*(AO21:AU21+1))*100+MOD(0-5,7)</f>
        <v>1602</v>
      </c>
      <c r="AI22" s="19" t="n">
        <f aca="false">SUMPRODUCT((MOD(AO$1:AU$1-1,7)&lt;Inputs!$B$6)*AO$2:AU$2*(AO21:AU21+1))*100+MOD(1-5,7)</f>
        <v>1403</v>
      </c>
      <c r="AJ22" s="19" t="n">
        <f aca="false">SUMPRODUCT((MOD(AO$1:AU$1-2,7)&lt;Inputs!$B$6)*AO$2:AU$2*(AO21:AU21+1))*100+MOD(2-5,7)</f>
        <v>1404</v>
      </c>
      <c r="AK22" s="19" t="n">
        <f aca="false">SUMPRODUCT((MOD(AO$1:AU$1-3,7)&lt;Inputs!$B$6)*AO$2:AU$2*(AO21:AU21+1))*100+MOD(3-5,7)</f>
        <v>1405</v>
      </c>
      <c r="AL22" s="19" t="n">
        <f aca="false">SUMPRODUCT((MOD(AO$1:AU$1-4,7)&lt;Inputs!$B$6)*AO$2:AU$2*(AO21:AU21+1))*100+MOD(4-5,7)</f>
        <v>1406</v>
      </c>
      <c r="AM22" s="19" t="n">
        <f aca="false">SUMPRODUCT((MOD(AO$1:AU$1-5,7)&lt;Inputs!$B$6)*AO$2:AU$2*(AO21:AU21+1))*100+MOD(5-5,7)</f>
        <v>1800</v>
      </c>
      <c r="AN22" s="19" t="n">
        <f aca="false">SUMPRODUCT((MOD(AO$1:AU$1-6,7)&lt;Inputs!$B$6)*AO$2:AU$2*(AO21:AU21+1))*100+MOD(6-5,7)</f>
        <v>1801</v>
      </c>
      <c r="AO22" s="19" t="n">
        <f aca="false">AO21+IF($B22=1,IF(MOD(0-$D22,7)&lt;Inputs!$B$6,1,0),0)</f>
        <v>3</v>
      </c>
      <c r="AP22" s="19" t="n">
        <f aca="false">AP21+IF($B22=1,IF(MOD(1-$D22,7)&lt;Inputs!$B$6,1,0),0)</f>
        <v>3</v>
      </c>
      <c r="AQ22" s="19" t="n">
        <f aca="false">AQ21+IF($B22=1,IF(MOD(2-$D22,7)&lt;Inputs!$B$6,1,0),0)</f>
        <v>2</v>
      </c>
      <c r="AR22" s="19" t="n">
        <f aca="false">AR21+IF($B22=1,IF(MOD(3-$D22,7)&lt;Inputs!$B$6,1,0),0)</f>
        <v>3</v>
      </c>
      <c r="AS22" s="19" t="n">
        <f aca="false">AS21+IF($B22=1,IF(MOD(4-$D22,7)&lt;Inputs!$B$6,1,0),0)</f>
        <v>2</v>
      </c>
      <c r="AT22" s="19" t="n">
        <f aca="false">AT21+IF($B22=1,IF(MOD(5-$D22,7)&lt;Inputs!$B$6,1,0),0)</f>
        <v>3</v>
      </c>
      <c r="AU22" s="19" t="n">
        <f aca="false">AU21+IF($B22=1,IF(MOD(6-$D22,7)&lt;Inputs!$B$6,1,0),0)</f>
        <v>4</v>
      </c>
    </row>
    <row r="23" customFormat="false" ht="15" hidden="false" customHeight="false" outlineLevel="0" collapsed="false">
      <c r="A23" s="0" t="n">
        <v>18</v>
      </c>
      <c r="B23" s="0" t="n">
        <f aca="false">IF(A23&lt;=Inputs!$B$3,1,0)</f>
        <v>0</v>
      </c>
      <c r="C23" s="0" t="n">
        <f aca="false">MOD(5+MOD(A23-1,7),7)</f>
        <v>1</v>
      </c>
      <c r="D23" s="0" t="n">
        <f aca="false">IF(Inputs!C40&lt;&gt;"",MATCH(Inputs!C40,Inputs!$A$11:$A$17,0)-1,IF(B23=0,0,MATCH(MIN(AH23:AN23),AH23:AN23,0)-1))</f>
        <v>0</v>
      </c>
      <c r="F23" s="0" t="n">
        <f aca="false">IF(OR($B23=0,F$3=0),0,IF(MOD(0-$D23,7)&lt;Inputs!$B$6,0,1))</f>
        <v>0</v>
      </c>
      <c r="G23" s="0" t="n">
        <f aca="false">IF(OR($B23=0,G$3=0),0,IF(MOD(1-$D23,7)&lt;Inputs!$B$6,0,1))</f>
        <v>0</v>
      </c>
      <c r="H23" s="0" t="n">
        <f aca="false">IF(OR($B23=0,H$3=0),0,IF(MOD(2-$D23,7)&lt;Inputs!$B$6,0,1))</f>
        <v>0</v>
      </c>
      <c r="I23" s="0" t="n">
        <f aca="false">IF(OR($B23=0,I$3=0),0,IF(MOD(3-$D23,7)&lt;Inputs!$B$6,0,1))</f>
        <v>0</v>
      </c>
      <c r="J23" s="0" t="n">
        <f aca="false">IF(OR($B23=0,J$3=0),0,IF(MOD(4-$D23,7)&lt;Inputs!$B$6,0,1))</f>
        <v>0</v>
      </c>
      <c r="K23" s="0" t="n">
        <f aca="false">IF(OR($B23=0,K$3=0),0,IF(MOD(5-$D23,7)&lt;Inputs!$B$6,0,1))</f>
        <v>0</v>
      </c>
      <c r="L23" s="0" t="n">
        <f aca="false">IF(OR($B23=0,L$3=0),0,IF(MOD(6-$D23,7)&lt;Inputs!$B$6,0,1))</f>
        <v>0</v>
      </c>
      <c r="M23" s="0" t="n">
        <f aca="false">SUM(F$6:F23)</f>
        <v>7</v>
      </c>
      <c r="N23" s="0" t="n">
        <f aca="false">SUM(G$6:G23)</f>
        <v>7</v>
      </c>
      <c r="O23" s="0" t="n">
        <f aca="false">SUM(H$6:H23)</f>
        <v>8</v>
      </c>
      <c r="P23" s="0" t="n">
        <f aca="false">SUM(I$6:I23)</f>
        <v>7</v>
      </c>
      <c r="Q23" s="0" t="n">
        <f aca="false">SUM(J$6:J23)</f>
        <v>8</v>
      </c>
      <c r="R23" s="0" t="n">
        <f aca="false">SUM(K$6:K23)</f>
        <v>7</v>
      </c>
      <c r="S23" s="0" t="n">
        <f aca="false">SUM(L$6:L23)</f>
        <v>6</v>
      </c>
      <c r="T23" s="18" t="n">
        <f aca="false">IF(F23=0,0,IF(Inputs!$D40="Open",F$1,IF(Inputs!$D40="Close",ROUND(F$2*1440-F$3*60,0)/1440,IF(OR(INT((M23-1)/Inputs!$B$7)=0,(INT((M$3-1-MOD(M23-1,Inputs!$B$7))/Inputs!$B$7)+1)&lt;=1),F$1,IF(INT((M23-1)/Inputs!$B$7)&gt;=(INT((M$3-1-MOD(M23-1,Inputs!$B$7))/Inputs!$B$7)+1)-1,ROUND(F$2*1440-F$3*60,0)/1440,MAX(F$1,MIN(ROUND(F$2*1440-F$3*60,0)/1440,ROUND((F$1+INT((M23-1)/Inputs!$B$7)/((INT((M$3-1-MOD(M23-1,Inputs!$B$7))/Inputs!$B$7)+1)-1)*((ROUND(F$2*1440-F$3*60,0)/1440)-F$1))*96,0)/96)))))))</f>
        <v>0</v>
      </c>
      <c r="U23" s="18" t="n">
        <f aca="false">IF(G23=0,0,IF(Inputs!$D40="Open",G$1,IF(Inputs!$D40="Close",ROUND(G$2*1440-G$3*60,0)/1440,IF(OR(INT((N23-1)/Inputs!$B$7)=0,(INT((N$3-1-MOD(N23-1,Inputs!$B$7))/Inputs!$B$7)+1)&lt;=1),G$1,IF(INT((N23-1)/Inputs!$B$7)&gt;=(INT((N$3-1-MOD(N23-1,Inputs!$B$7))/Inputs!$B$7)+1)-1,ROUND(G$2*1440-G$3*60,0)/1440,MAX(G$1,MIN(ROUND(G$2*1440-G$3*60,0)/1440,ROUND((G$1+INT((N23-1)/Inputs!$B$7)/((INT((N$3-1-MOD(N23-1,Inputs!$B$7))/Inputs!$B$7)+1)-1)*((ROUND(G$2*1440-G$3*60,0)/1440)-G$1))*96,0)/96)))))))</f>
        <v>0</v>
      </c>
      <c r="V23" s="18" t="n">
        <f aca="false">IF(H23=0,0,IF(Inputs!$D40="Open",H$1,IF(Inputs!$D40="Close",ROUND(H$2*1440-H$3*60,0)/1440,IF(OR(INT((O23-1)/Inputs!$B$7)=0,(INT((O$3-1-MOD(O23-1,Inputs!$B$7))/Inputs!$B$7)+1)&lt;=1),H$1,IF(INT((O23-1)/Inputs!$B$7)&gt;=(INT((O$3-1-MOD(O23-1,Inputs!$B$7))/Inputs!$B$7)+1)-1,ROUND(H$2*1440-H$3*60,0)/1440,MAX(H$1,MIN(ROUND(H$2*1440-H$3*60,0)/1440,ROUND((H$1+INT((O23-1)/Inputs!$B$7)/((INT((O$3-1-MOD(O23-1,Inputs!$B$7))/Inputs!$B$7)+1)-1)*((ROUND(H$2*1440-H$3*60,0)/1440)-H$1))*96,0)/96)))))))</f>
        <v>0</v>
      </c>
      <c r="W23" s="18" t="n">
        <f aca="false">IF(I23=0,0,IF(Inputs!$D40="Open",I$1,IF(Inputs!$D40="Close",ROUND(I$2*1440-I$3*60,0)/1440,IF(OR(INT((P23-1)/Inputs!$B$7)=0,(INT((P$3-1-MOD(P23-1,Inputs!$B$7))/Inputs!$B$7)+1)&lt;=1),I$1,IF(INT((P23-1)/Inputs!$B$7)&gt;=(INT((P$3-1-MOD(P23-1,Inputs!$B$7))/Inputs!$B$7)+1)-1,ROUND(I$2*1440-I$3*60,0)/1440,MAX(I$1,MIN(ROUND(I$2*1440-I$3*60,0)/1440,ROUND((I$1+INT((P23-1)/Inputs!$B$7)/((INT((P$3-1-MOD(P23-1,Inputs!$B$7))/Inputs!$B$7)+1)-1)*((ROUND(I$2*1440-I$3*60,0)/1440)-I$1))*96,0)/96)))))))</f>
        <v>0</v>
      </c>
      <c r="X23" s="18" t="n">
        <f aca="false">IF(J23=0,0,IF(Inputs!$D40="Open",J$1,IF(Inputs!$D40="Close",ROUND(J$2*1440-J$3*60,0)/1440,IF(OR(INT((Q23-1)/Inputs!$B$7)=0,(INT((Q$3-1-MOD(Q23-1,Inputs!$B$7))/Inputs!$B$7)+1)&lt;=1),J$1,IF(INT((Q23-1)/Inputs!$B$7)&gt;=(INT((Q$3-1-MOD(Q23-1,Inputs!$B$7))/Inputs!$B$7)+1)-1,ROUND(J$2*1440-J$3*60,0)/1440,MAX(J$1,MIN(ROUND(J$2*1440-J$3*60,0)/1440,ROUND((J$1+INT((Q23-1)/Inputs!$B$7)/((INT((Q$3-1-MOD(Q23-1,Inputs!$B$7))/Inputs!$B$7)+1)-1)*((ROUND(J$2*1440-J$3*60,0)/1440)-J$1))*96,0)/96)))))))</f>
        <v>0</v>
      </c>
      <c r="Y23" s="18" t="n">
        <f aca="false">IF(K23=0,0,IF(Inputs!$D40="Open",K$1,IF(Inputs!$D40="Close",ROUND(K$2*1440-K$3*60,0)/1440,IF(OR(INT((R23-1)/Inputs!$B$7)=0,(INT((R$3-1-MOD(R23-1,Inputs!$B$7))/Inputs!$B$7)+1)&lt;=1),K$1,IF(INT((R23-1)/Inputs!$B$7)&gt;=(INT((R$3-1-MOD(R23-1,Inputs!$B$7))/Inputs!$B$7)+1)-1,ROUND(K$2*1440-K$3*60,0)/1440,MAX(K$1,MIN(ROUND(K$2*1440-K$3*60,0)/1440,ROUND((K$1+INT((R23-1)/Inputs!$B$7)/((INT((R$3-1-MOD(R23-1,Inputs!$B$7))/Inputs!$B$7)+1)-1)*((ROUND(K$2*1440-K$3*60,0)/1440)-K$1))*96,0)/96)))))))</f>
        <v>0</v>
      </c>
      <c r="Z23" s="18" t="n">
        <f aca="false">IF(L23=0,0,IF(Inputs!$D40="Open",L$1,IF(Inputs!$D40="Close",ROUND(L$2*1440-L$3*60,0)/1440,IF(OR(INT((S23-1)/Inputs!$B$7)=0,(INT((S$3-1-MOD(S23-1,Inputs!$B$7))/Inputs!$B$7)+1)&lt;=1),L$1,IF(INT((S23-1)/Inputs!$B$7)&gt;=(INT((S$3-1-MOD(S23-1,Inputs!$B$7))/Inputs!$B$7)+1)-1,ROUND(L$2*1440-L$3*60,0)/1440,MAX(L$1,MIN(ROUND(L$2*1440-L$3*60,0)/1440,ROUND((L$1+INT((S23-1)/Inputs!$B$7)/((INT((S$3-1-MOD(S23-1,Inputs!$B$7))/Inputs!$B$7)+1)-1)*((ROUND(L$2*1440-L$3*60,0)/1440)-L$1))*96,0)/96)))))))</f>
        <v>0</v>
      </c>
      <c r="AA23" s="18" t="n">
        <f aca="false">IF(F23=0,0,ROUND(T23*1440+F$3*60,0)/1440)</f>
        <v>0</v>
      </c>
      <c r="AB23" s="18" t="n">
        <f aca="false">IF(G23=0,0,ROUND(U23*1440+G$3*60,0)/1440)</f>
        <v>0</v>
      </c>
      <c r="AC23" s="18" t="n">
        <f aca="false">IF(H23=0,0,ROUND(V23*1440+H$3*60,0)/1440)</f>
        <v>0</v>
      </c>
      <c r="AD23" s="18" t="n">
        <f aca="false">IF(I23=0,0,ROUND(W23*1440+I$3*60,0)/1440)</f>
        <v>0</v>
      </c>
      <c r="AE23" s="18" t="n">
        <f aca="false">IF(J23=0,0,ROUND(X23*1440+J$3*60,0)/1440)</f>
        <v>0</v>
      </c>
      <c r="AF23" s="18" t="n">
        <f aca="false">IF(K23=0,0,ROUND(Y23*1440+K$3*60,0)/1440)</f>
        <v>0</v>
      </c>
      <c r="AG23" s="18" t="n">
        <f aca="false">IF(L23=0,0,ROUND(Z23*1440+L$3*60,0)/1440)</f>
        <v>0</v>
      </c>
      <c r="AH23" s="19" t="n">
        <f aca="false">SUMPRODUCT((MOD(AO$1:AU$1-0,7)&lt;Inputs!$B$6)*AO$2:AU$2*(AO22:AU22+1))*100+MOD(0-5,7)</f>
        <v>1602</v>
      </c>
      <c r="AI23" s="19" t="n">
        <f aca="false">SUMPRODUCT((MOD(AO$1:AU$1-1,7)&lt;Inputs!$B$6)*AO$2:AU$2*(AO22:AU22+1))*100+MOD(1-5,7)</f>
        <v>1403</v>
      </c>
      <c r="AJ23" s="19" t="n">
        <f aca="false">SUMPRODUCT((MOD(AO$1:AU$1-2,7)&lt;Inputs!$B$6)*AO$2:AU$2*(AO22:AU22+1))*100+MOD(2-5,7)</f>
        <v>1404</v>
      </c>
      <c r="AK23" s="19" t="n">
        <f aca="false">SUMPRODUCT((MOD(AO$1:AU$1-3,7)&lt;Inputs!$B$6)*AO$2:AU$2*(AO22:AU22+1))*100+MOD(3-5,7)</f>
        <v>1405</v>
      </c>
      <c r="AL23" s="19" t="n">
        <f aca="false">SUMPRODUCT((MOD(AO$1:AU$1-4,7)&lt;Inputs!$B$6)*AO$2:AU$2*(AO22:AU22+1))*100+MOD(4-5,7)</f>
        <v>1406</v>
      </c>
      <c r="AM23" s="19" t="n">
        <f aca="false">SUMPRODUCT((MOD(AO$1:AU$1-5,7)&lt;Inputs!$B$6)*AO$2:AU$2*(AO22:AU22+1))*100+MOD(5-5,7)</f>
        <v>1800</v>
      </c>
      <c r="AN23" s="19" t="n">
        <f aca="false">SUMPRODUCT((MOD(AO$1:AU$1-6,7)&lt;Inputs!$B$6)*AO$2:AU$2*(AO22:AU22+1))*100+MOD(6-5,7)</f>
        <v>1801</v>
      </c>
      <c r="AO23" s="19" t="n">
        <f aca="false">AO22+IF($B23=1,IF(MOD(0-$D23,7)&lt;Inputs!$B$6,1,0),0)</f>
        <v>3</v>
      </c>
      <c r="AP23" s="19" t="n">
        <f aca="false">AP22+IF($B23=1,IF(MOD(1-$D23,7)&lt;Inputs!$B$6,1,0),0)</f>
        <v>3</v>
      </c>
      <c r="AQ23" s="19" t="n">
        <f aca="false">AQ22+IF($B23=1,IF(MOD(2-$D23,7)&lt;Inputs!$B$6,1,0),0)</f>
        <v>2</v>
      </c>
      <c r="AR23" s="19" t="n">
        <f aca="false">AR22+IF($B23=1,IF(MOD(3-$D23,7)&lt;Inputs!$B$6,1,0),0)</f>
        <v>3</v>
      </c>
      <c r="AS23" s="19" t="n">
        <f aca="false">AS22+IF($B23=1,IF(MOD(4-$D23,7)&lt;Inputs!$B$6,1,0),0)</f>
        <v>2</v>
      </c>
      <c r="AT23" s="19" t="n">
        <f aca="false">AT22+IF($B23=1,IF(MOD(5-$D23,7)&lt;Inputs!$B$6,1,0),0)</f>
        <v>3</v>
      </c>
      <c r="AU23" s="19" t="n">
        <f aca="false">AU22+IF($B23=1,IF(MOD(6-$D23,7)&lt;Inputs!$B$6,1,0),0)</f>
        <v>4</v>
      </c>
    </row>
    <row r="24" customFormat="false" ht="15" hidden="false" customHeight="false" outlineLevel="0" collapsed="false">
      <c r="A24" s="0" t="n">
        <v>19</v>
      </c>
      <c r="B24" s="0" t="n">
        <f aca="false">IF(A24&lt;=Inputs!$B$3,1,0)</f>
        <v>0</v>
      </c>
      <c r="C24" s="0" t="n">
        <f aca="false">MOD(5+MOD(A24-1,7),7)</f>
        <v>2</v>
      </c>
      <c r="D24" s="0" t="n">
        <f aca="false">IF(Inputs!C41&lt;&gt;"",MATCH(Inputs!C41,Inputs!$A$11:$A$17,0)-1,IF(B24=0,0,MATCH(MIN(AH24:AN24),AH24:AN24,0)-1))</f>
        <v>0</v>
      </c>
      <c r="F24" s="0" t="n">
        <f aca="false">IF(OR($B24=0,F$3=0),0,IF(MOD(0-$D24,7)&lt;Inputs!$B$6,0,1))</f>
        <v>0</v>
      </c>
      <c r="G24" s="0" t="n">
        <f aca="false">IF(OR($B24=0,G$3=0),0,IF(MOD(1-$D24,7)&lt;Inputs!$B$6,0,1))</f>
        <v>0</v>
      </c>
      <c r="H24" s="0" t="n">
        <f aca="false">IF(OR($B24=0,H$3=0),0,IF(MOD(2-$D24,7)&lt;Inputs!$B$6,0,1))</f>
        <v>0</v>
      </c>
      <c r="I24" s="0" t="n">
        <f aca="false">IF(OR($B24=0,I$3=0),0,IF(MOD(3-$D24,7)&lt;Inputs!$B$6,0,1))</f>
        <v>0</v>
      </c>
      <c r="J24" s="0" t="n">
        <f aca="false">IF(OR($B24=0,J$3=0),0,IF(MOD(4-$D24,7)&lt;Inputs!$B$6,0,1))</f>
        <v>0</v>
      </c>
      <c r="K24" s="0" t="n">
        <f aca="false">IF(OR($B24=0,K$3=0),0,IF(MOD(5-$D24,7)&lt;Inputs!$B$6,0,1))</f>
        <v>0</v>
      </c>
      <c r="L24" s="0" t="n">
        <f aca="false">IF(OR($B24=0,L$3=0),0,IF(MOD(6-$D24,7)&lt;Inputs!$B$6,0,1))</f>
        <v>0</v>
      </c>
      <c r="M24" s="0" t="n">
        <f aca="false">SUM(F$6:F24)</f>
        <v>7</v>
      </c>
      <c r="N24" s="0" t="n">
        <f aca="false">SUM(G$6:G24)</f>
        <v>7</v>
      </c>
      <c r="O24" s="0" t="n">
        <f aca="false">SUM(H$6:H24)</f>
        <v>8</v>
      </c>
      <c r="P24" s="0" t="n">
        <f aca="false">SUM(I$6:I24)</f>
        <v>7</v>
      </c>
      <c r="Q24" s="0" t="n">
        <f aca="false">SUM(J$6:J24)</f>
        <v>8</v>
      </c>
      <c r="R24" s="0" t="n">
        <f aca="false">SUM(K$6:K24)</f>
        <v>7</v>
      </c>
      <c r="S24" s="0" t="n">
        <f aca="false">SUM(L$6:L24)</f>
        <v>6</v>
      </c>
      <c r="T24" s="18" t="n">
        <f aca="false">IF(F24=0,0,IF(Inputs!$D41="Open",F$1,IF(Inputs!$D41="Close",ROUND(F$2*1440-F$3*60,0)/1440,IF(OR(INT((M24-1)/Inputs!$B$7)=0,(INT((M$3-1-MOD(M24-1,Inputs!$B$7))/Inputs!$B$7)+1)&lt;=1),F$1,IF(INT((M24-1)/Inputs!$B$7)&gt;=(INT((M$3-1-MOD(M24-1,Inputs!$B$7))/Inputs!$B$7)+1)-1,ROUND(F$2*1440-F$3*60,0)/1440,MAX(F$1,MIN(ROUND(F$2*1440-F$3*60,0)/1440,ROUND((F$1+INT((M24-1)/Inputs!$B$7)/((INT((M$3-1-MOD(M24-1,Inputs!$B$7))/Inputs!$B$7)+1)-1)*((ROUND(F$2*1440-F$3*60,0)/1440)-F$1))*96,0)/96)))))))</f>
        <v>0</v>
      </c>
      <c r="U24" s="18" t="n">
        <f aca="false">IF(G24=0,0,IF(Inputs!$D41="Open",G$1,IF(Inputs!$D41="Close",ROUND(G$2*1440-G$3*60,0)/1440,IF(OR(INT((N24-1)/Inputs!$B$7)=0,(INT((N$3-1-MOD(N24-1,Inputs!$B$7))/Inputs!$B$7)+1)&lt;=1),G$1,IF(INT((N24-1)/Inputs!$B$7)&gt;=(INT((N$3-1-MOD(N24-1,Inputs!$B$7))/Inputs!$B$7)+1)-1,ROUND(G$2*1440-G$3*60,0)/1440,MAX(G$1,MIN(ROUND(G$2*1440-G$3*60,0)/1440,ROUND((G$1+INT((N24-1)/Inputs!$B$7)/((INT((N$3-1-MOD(N24-1,Inputs!$B$7))/Inputs!$B$7)+1)-1)*((ROUND(G$2*1440-G$3*60,0)/1440)-G$1))*96,0)/96)))))))</f>
        <v>0</v>
      </c>
      <c r="V24" s="18" t="n">
        <f aca="false">IF(H24=0,0,IF(Inputs!$D41="Open",H$1,IF(Inputs!$D41="Close",ROUND(H$2*1440-H$3*60,0)/1440,IF(OR(INT((O24-1)/Inputs!$B$7)=0,(INT((O$3-1-MOD(O24-1,Inputs!$B$7))/Inputs!$B$7)+1)&lt;=1),H$1,IF(INT((O24-1)/Inputs!$B$7)&gt;=(INT((O$3-1-MOD(O24-1,Inputs!$B$7))/Inputs!$B$7)+1)-1,ROUND(H$2*1440-H$3*60,0)/1440,MAX(H$1,MIN(ROUND(H$2*1440-H$3*60,0)/1440,ROUND((H$1+INT((O24-1)/Inputs!$B$7)/((INT((O$3-1-MOD(O24-1,Inputs!$B$7))/Inputs!$B$7)+1)-1)*((ROUND(H$2*1440-H$3*60,0)/1440)-H$1))*96,0)/96)))))))</f>
        <v>0</v>
      </c>
      <c r="W24" s="18" t="n">
        <f aca="false">IF(I24=0,0,IF(Inputs!$D41="Open",I$1,IF(Inputs!$D41="Close",ROUND(I$2*1440-I$3*60,0)/1440,IF(OR(INT((P24-1)/Inputs!$B$7)=0,(INT((P$3-1-MOD(P24-1,Inputs!$B$7))/Inputs!$B$7)+1)&lt;=1),I$1,IF(INT((P24-1)/Inputs!$B$7)&gt;=(INT((P$3-1-MOD(P24-1,Inputs!$B$7))/Inputs!$B$7)+1)-1,ROUND(I$2*1440-I$3*60,0)/1440,MAX(I$1,MIN(ROUND(I$2*1440-I$3*60,0)/1440,ROUND((I$1+INT((P24-1)/Inputs!$B$7)/((INT((P$3-1-MOD(P24-1,Inputs!$B$7))/Inputs!$B$7)+1)-1)*((ROUND(I$2*1440-I$3*60,0)/1440)-I$1))*96,0)/96)))))))</f>
        <v>0</v>
      </c>
      <c r="X24" s="18" t="n">
        <f aca="false">IF(J24=0,0,IF(Inputs!$D41="Open",J$1,IF(Inputs!$D41="Close",ROUND(J$2*1440-J$3*60,0)/1440,IF(OR(INT((Q24-1)/Inputs!$B$7)=0,(INT((Q$3-1-MOD(Q24-1,Inputs!$B$7))/Inputs!$B$7)+1)&lt;=1),J$1,IF(INT((Q24-1)/Inputs!$B$7)&gt;=(INT((Q$3-1-MOD(Q24-1,Inputs!$B$7))/Inputs!$B$7)+1)-1,ROUND(J$2*1440-J$3*60,0)/1440,MAX(J$1,MIN(ROUND(J$2*1440-J$3*60,0)/1440,ROUND((J$1+INT((Q24-1)/Inputs!$B$7)/((INT((Q$3-1-MOD(Q24-1,Inputs!$B$7))/Inputs!$B$7)+1)-1)*((ROUND(J$2*1440-J$3*60,0)/1440)-J$1))*96,0)/96)))))))</f>
        <v>0</v>
      </c>
      <c r="Y24" s="18" t="n">
        <f aca="false">IF(K24=0,0,IF(Inputs!$D41="Open",K$1,IF(Inputs!$D41="Close",ROUND(K$2*1440-K$3*60,0)/1440,IF(OR(INT((R24-1)/Inputs!$B$7)=0,(INT((R$3-1-MOD(R24-1,Inputs!$B$7))/Inputs!$B$7)+1)&lt;=1),K$1,IF(INT((R24-1)/Inputs!$B$7)&gt;=(INT((R$3-1-MOD(R24-1,Inputs!$B$7))/Inputs!$B$7)+1)-1,ROUND(K$2*1440-K$3*60,0)/1440,MAX(K$1,MIN(ROUND(K$2*1440-K$3*60,0)/1440,ROUND((K$1+INT((R24-1)/Inputs!$B$7)/((INT((R$3-1-MOD(R24-1,Inputs!$B$7))/Inputs!$B$7)+1)-1)*((ROUND(K$2*1440-K$3*60,0)/1440)-K$1))*96,0)/96)))))))</f>
        <v>0</v>
      </c>
      <c r="Z24" s="18" t="n">
        <f aca="false">IF(L24=0,0,IF(Inputs!$D41="Open",L$1,IF(Inputs!$D41="Close",ROUND(L$2*1440-L$3*60,0)/1440,IF(OR(INT((S24-1)/Inputs!$B$7)=0,(INT((S$3-1-MOD(S24-1,Inputs!$B$7))/Inputs!$B$7)+1)&lt;=1),L$1,IF(INT((S24-1)/Inputs!$B$7)&gt;=(INT((S$3-1-MOD(S24-1,Inputs!$B$7))/Inputs!$B$7)+1)-1,ROUND(L$2*1440-L$3*60,0)/1440,MAX(L$1,MIN(ROUND(L$2*1440-L$3*60,0)/1440,ROUND((L$1+INT((S24-1)/Inputs!$B$7)/((INT((S$3-1-MOD(S24-1,Inputs!$B$7))/Inputs!$B$7)+1)-1)*((ROUND(L$2*1440-L$3*60,0)/1440)-L$1))*96,0)/96)))))))</f>
        <v>0</v>
      </c>
      <c r="AA24" s="18" t="n">
        <f aca="false">IF(F24=0,0,ROUND(T24*1440+F$3*60,0)/1440)</f>
        <v>0</v>
      </c>
      <c r="AB24" s="18" t="n">
        <f aca="false">IF(G24=0,0,ROUND(U24*1440+G$3*60,0)/1440)</f>
        <v>0</v>
      </c>
      <c r="AC24" s="18" t="n">
        <f aca="false">IF(H24=0,0,ROUND(V24*1440+H$3*60,0)/1440)</f>
        <v>0</v>
      </c>
      <c r="AD24" s="18" t="n">
        <f aca="false">IF(I24=0,0,ROUND(W24*1440+I$3*60,0)/1440)</f>
        <v>0</v>
      </c>
      <c r="AE24" s="18" t="n">
        <f aca="false">IF(J24=0,0,ROUND(X24*1440+J$3*60,0)/1440)</f>
        <v>0</v>
      </c>
      <c r="AF24" s="18" t="n">
        <f aca="false">IF(K24=0,0,ROUND(Y24*1440+K$3*60,0)/1440)</f>
        <v>0</v>
      </c>
      <c r="AG24" s="18" t="n">
        <f aca="false">IF(L24=0,0,ROUND(Z24*1440+L$3*60,0)/1440)</f>
        <v>0</v>
      </c>
      <c r="AH24" s="19" t="n">
        <f aca="false">SUMPRODUCT((MOD(AO$1:AU$1-0,7)&lt;Inputs!$B$6)*AO$2:AU$2*(AO23:AU23+1))*100+MOD(0-5,7)</f>
        <v>1602</v>
      </c>
      <c r="AI24" s="19" t="n">
        <f aca="false">SUMPRODUCT((MOD(AO$1:AU$1-1,7)&lt;Inputs!$B$6)*AO$2:AU$2*(AO23:AU23+1))*100+MOD(1-5,7)</f>
        <v>1403</v>
      </c>
      <c r="AJ24" s="19" t="n">
        <f aca="false">SUMPRODUCT((MOD(AO$1:AU$1-2,7)&lt;Inputs!$B$6)*AO$2:AU$2*(AO23:AU23+1))*100+MOD(2-5,7)</f>
        <v>1404</v>
      </c>
      <c r="AK24" s="19" t="n">
        <f aca="false">SUMPRODUCT((MOD(AO$1:AU$1-3,7)&lt;Inputs!$B$6)*AO$2:AU$2*(AO23:AU23+1))*100+MOD(3-5,7)</f>
        <v>1405</v>
      </c>
      <c r="AL24" s="19" t="n">
        <f aca="false">SUMPRODUCT((MOD(AO$1:AU$1-4,7)&lt;Inputs!$B$6)*AO$2:AU$2*(AO23:AU23+1))*100+MOD(4-5,7)</f>
        <v>1406</v>
      </c>
      <c r="AM24" s="19" t="n">
        <f aca="false">SUMPRODUCT((MOD(AO$1:AU$1-5,7)&lt;Inputs!$B$6)*AO$2:AU$2*(AO23:AU23+1))*100+MOD(5-5,7)</f>
        <v>1800</v>
      </c>
      <c r="AN24" s="19" t="n">
        <f aca="false">SUMPRODUCT((MOD(AO$1:AU$1-6,7)&lt;Inputs!$B$6)*AO$2:AU$2*(AO23:AU23+1))*100+MOD(6-5,7)</f>
        <v>1801</v>
      </c>
      <c r="AO24" s="19" t="n">
        <f aca="false">AO23+IF($B24=1,IF(MOD(0-$D24,7)&lt;Inputs!$B$6,1,0),0)</f>
        <v>3</v>
      </c>
      <c r="AP24" s="19" t="n">
        <f aca="false">AP23+IF($B24=1,IF(MOD(1-$D24,7)&lt;Inputs!$B$6,1,0),0)</f>
        <v>3</v>
      </c>
      <c r="AQ24" s="19" t="n">
        <f aca="false">AQ23+IF($B24=1,IF(MOD(2-$D24,7)&lt;Inputs!$B$6,1,0),0)</f>
        <v>2</v>
      </c>
      <c r="AR24" s="19" t="n">
        <f aca="false">AR23+IF($B24=1,IF(MOD(3-$D24,7)&lt;Inputs!$B$6,1,0),0)</f>
        <v>3</v>
      </c>
      <c r="AS24" s="19" t="n">
        <f aca="false">AS23+IF($B24=1,IF(MOD(4-$D24,7)&lt;Inputs!$B$6,1,0),0)</f>
        <v>2</v>
      </c>
      <c r="AT24" s="19" t="n">
        <f aca="false">AT23+IF($B24=1,IF(MOD(5-$D24,7)&lt;Inputs!$B$6,1,0),0)</f>
        <v>3</v>
      </c>
      <c r="AU24" s="19" t="n">
        <f aca="false">AU23+IF($B24=1,IF(MOD(6-$D24,7)&lt;Inputs!$B$6,1,0),0)</f>
        <v>4</v>
      </c>
    </row>
    <row r="25" customFormat="false" ht="15" hidden="false" customHeight="false" outlineLevel="0" collapsed="false">
      <c r="A25" s="0" t="n">
        <v>20</v>
      </c>
      <c r="B25" s="0" t="n">
        <f aca="false">IF(A25&lt;=Inputs!$B$3,1,0)</f>
        <v>0</v>
      </c>
      <c r="C25" s="0" t="n">
        <f aca="false">MOD(5+MOD(A25-1,7),7)</f>
        <v>3</v>
      </c>
      <c r="D25" s="0" t="n">
        <f aca="false">IF(Inputs!C42&lt;&gt;"",MATCH(Inputs!C42,Inputs!$A$11:$A$17,0)-1,IF(B25=0,0,MATCH(MIN(AH25:AN25),AH25:AN25,0)-1))</f>
        <v>0</v>
      </c>
      <c r="F25" s="0" t="n">
        <f aca="false">IF(OR($B25=0,F$3=0),0,IF(MOD(0-$D25,7)&lt;Inputs!$B$6,0,1))</f>
        <v>0</v>
      </c>
      <c r="G25" s="0" t="n">
        <f aca="false">IF(OR($B25=0,G$3=0),0,IF(MOD(1-$D25,7)&lt;Inputs!$B$6,0,1))</f>
        <v>0</v>
      </c>
      <c r="H25" s="0" t="n">
        <f aca="false">IF(OR($B25=0,H$3=0),0,IF(MOD(2-$D25,7)&lt;Inputs!$B$6,0,1))</f>
        <v>0</v>
      </c>
      <c r="I25" s="0" t="n">
        <f aca="false">IF(OR($B25=0,I$3=0),0,IF(MOD(3-$D25,7)&lt;Inputs!$B$6,0,1))</f>
        <v>0</v>
      </c>
      <c r="J25" s="0" t="n">
        <f aca="false">IF(OR($B25=0,J$3=0),0,IF(MOD(4-$D25,7)&lt;Inputs!$B$6,0,1))</f>
        <v>0</v>
      </c>
      <c r="K25" s="0" t="n">
        <f aca="false">IF(OR($B25=0,K$3=0),0,IF(MOD(5-$D25,7)&lt;Inputs!$B$6,0,1))</f>
        <v>0</v>
      </c>
      <c r="L25" s="0" t="n">
        <f aca="false">IF(OR($B25=0,L$3=0),0,IF(MOD(6-$D25,7)&lt;Inputs!$B$6,0,1))</f>
        <v>0</v>
      </c>
      <c r="M25" s="0" t="n">
        <f aca="false">SUM(F$6:F25)</f>
        <v>7</v>
      </c>
      <c r="N25" s="0" t="n">
        <f aca="false">SUM(G$6:G25)</f>
        <v>7</v>
      </c>
      <c r="O25" s="0" t="n">
        <f aca="false">SUM(H$6:H25)</f>
        <v>8</v>
      </c>
      <c r="P25" s="0" t="n">
        <f aca="false">SUM(I$6:I25)</f>
        <v>7</v>
      </c>
      <c r="Q25" s="0" t="n">
        <f aca="false">SUM(J$6:J25)</f>
        <v>8</v>
      </c>
      <c r="R25" s="0" t="n">
        <f aca="false">SUM(K$6:K25)</f>
        <v>7</v>
      </c>
      <c r="S25" s="0" t="n">
        <f aca="false">SUM(L$6:L25)</f>
        <v>6</v>
      </c>
      <c r="T25" s="18" t="n">
        <f aca="false">IF(F25=0,0,IF(Inputs!$D42="Open",F$1,IF(Inputs!$D42="Close",ROUND(F$2*1440-F$3*60,0)/1440,IF(OR(INT((M25-1)/Inputs!$B$7)=0,(INT((M$3-1-MOD(M25-1,Inputs!$B$7))/Inputs!$B$7)+1)&lt;=1),F$1,IF(INT((M25-1)/Inputs!$B$7)&gt;=(INT((M$3-1-MOD(M25-1,Inputs!$B$7))/Inputs!$B$7)+1)-1,ROUND(F$2*1440-F$3*60,0)/1440,MAX(F$1,MIN(ROUND(F$2*1440-F$3*60,0)/1440,ROUND((F$1+INT((M25-1)/Inputs!$B$7)/((INT((M$3-1-MOD(M25-1,Inputs!$B$7))/Inputs!$B$7)+1)-1)*((ROUND(F$2*1440-F$3*60,0)/1440)-F$1))*96,0)/96)))))))</f>
        <v>0</v>
      </c>
      <c r="U25" s="18" t="n">
        <f aca="false">IF(G25=0,0,IF(Inputs!$D42="Open",G$1,IF(Inputs!$D42="Close",ROUND(G$2*1440-G$3*60,0)/1440,IF(OR(INT((N25-1)/Inputs!$B$7)=0,(INT((N$3-1-MOD(N25-1,Inputs!$B$7))/Inputs!$B$7)+1)&lt;=1),G$1,IF(INT((N25-1)/Inputs!$B$7)&gt;=(INT((N$3-1-MOD(N25-1,Inputs!$B$7))/Inputs!$B$7)+1)-1,ROUND(G$2*1440-G$3*60,0)/1440,MAX(G$1,MIN(ROUND(G$2*1440-G$3*60,0)/1440,ROUND((G$1+INT((N25-1)/Inputs!$B$7)/((INT((N$3-1-MOD(N25-1,Inputs!$B$7))/Inputs!$B$7)+1)-1)*((ROUND(G$2*1440-G$3*60,0)/1440)-G$1))*96,0)/96)))))))</f>
        <v>0</v>
      </c>
      <c r="V25" s="18" t="n">
        <f aca="false">IF(H25=0,0,IF(Inputs!$D42="Open",H$1,IF(Inputs!$D42="Close",ROUND(H$2*1440-H$3*60,0)/1440,IF(OR(INT((O25-1)/Inputs!$B$7)=0,(INT((O$3-1-MOD(O25-1,Inputs!$B$7))/Inputs!$B$7)+1)&lt;=1),H$1,IF(INT((O25-1)/Inputs!$B$7)&gt;=(INT((O$3-1-MOD(O25-1,Inputs!$B$7))/Inputs!$B$7)+1)-1,ROUND(H$2*1440-H$3*60,0)/1440,MAX(H$1,MIN(ROUND(H$2*1440-H$3*60,0)/1440,ROUND((H$1+INT((O25-1)/Inputs!$B$7)/((INT((O$3-1-MOD(O25-1,Inputs!$B$7))/Inputs!$B$7)+1)-1)*((ROUND(H$2*1440-H$3*60,0)/1440)-H$1))*96,0)/96)))))))</f>
        <v>0</v>
      </c>
      <c r="W25" s="18" t="n">
        <f aca="false">IF(I25=0,0,IF(Inputs!$D42="Open",I$1,IF(Inputs!$D42="Close",ROUND(I$2*1440-I$3*60,0)/1440,IF(OR(INT((P25-1)/Inputs!$B$7)=0,(INT((P$3-1-MOD(P25-1,Inputs!$B$7))/Inputs!$B$7)+1)&lt;=1),I$1,IF(INT((P25-1)/Inputs!$B$7)&gt;=(INT((P$3-1-MOD(P25-1,Inputs!$B$7))/Inputs!$B$7)+1)-1,ROUND(I$2*1440-I$3*60,0)/1440,MAX(I$1,MIN(ROUND(I$2*1440-I$3*60,0)/1440,ROUND((I$1+INT((P25-1)/Inputs!$B$7)/((INT((P$3-1-MOD(P25-1,Inputs!$B$7))/Inputs!$B$7)+1)-1)*((ROUND(I$2*1440-I$3*60,0)/1440)-I$1))*96,0)/96)))))))</f>
        <v>0</v>
      </c>
      <c r="X25" s="18" t="n">
        <f aca="false">IF(J25=0,0,IF(Inputs!$D42="Open",J$1,IF(Inputs!$D42="Close",ROUND(J$2*1440-J$3*60,0)/1440,IF(OR(INT((Q25-1)/Inputs!$B$7)=0,(INT((Q$3-1-MOD(Q25-1,Inputs!$B$7))/Inputs!$B$7)+1)&lt;=1),J$1,IF(INT((Q25-1)/Inputs!$B$7)&gt;=(INT((Q$3-1-MOD(Q25-1,Inputs!$B$7))/Inputs!$B$7)+1)-1,ROUND(J$2*1440-J$3*60,0)/1440,MAX(J$1,MIN(ROUND(J$2*1440-J$3*60,0)/1440,ROUND((J$1+INT((Q25-1)/Inputs!$B$7)/((INT((Q$3-1-MOD(Q25-1,Inputs!$B$7))/Inputs!$B$7)+1)-1)*((ROUND(J$2*1440-J$3*60,0)/1440)-J$1))*96,0)/96)))))))</f>
        <v>0</v>
      </c>
      <c r="Y25" s="18" t="n">
        <f aca="false">IF(K25=0,0,IF(Inputs!$D42="Open",K$1,IF(Inputs!$D42="Close",ROUND(K$2*1440-K$3*60,0)/1440,IF(OR(INT((R25-1)/Inputs!$B$7)=0,(INT((R$3-1-MOD(R25-1,Inputs!$B$7))/Inputs!$B$7)+1)&lt;=1),K$1,IF(INT((R25-1)/Inputs!$B$7)&gt;=(INT((R$3-1-MOD(R25-1,Inputs!$B$7))/Inputs!$B$7)+1)-1,ROUND(K$2*1440-K$3*60,0)/1440,MAX(K$1,MIN(ROUND(K$2*1440-K$3*60,0)/1440,ROUND((K$1+INT((R25-1)/Inputs!$B$7)/((INT((R$3-1-MOD(R25-1,Inputs!$B$7))/Inputs!$B$7)+1)-1)*((ROUND(K$2*1440-K$3*60,0)/1440)-K$1))*96,0)/96)))))))</f>
        <v>0</v>
      </c>
      <c r="Z25" s="18" t="n">
        <f aca="false">IF(L25=0,0,IF(Inputs!$D42="Open",L$1,IF(Inputs!$D42="Close",ROUND(L$2*1440-L$3*60,0)/1440,IF(OR(INT((S25-1)/Inputs!$B$7)=0,(INT((S$3-1-MOD(S25-1,Inputs!$B$7))/Inputs!$B$7)+1)&lt;=1),L$1,IF(INT((S25-1)/Inputs!$B$7)&gt;=(INT((S$3-1-MOD(S25-1,Inputs!$B$7))/Inputs!$B$7)+1)-1,ROUND(L$2*1440-L$3*60,0)/1440,MAX(L$1,MIN(ROUND(L$2*1440-L$3*60,0)/1440,ROUND((L$1+INT((S25-1)/Inputs!$B$7)/((INT((S$3-1-MOD(S25-1,Inputs!$B$7))/Inputs!$B$7)+1)-1)*((ROUND(L$2*1440-L$3*60,0)/1440)-L$1))*96,0)/96)))))))</f>
        <v>0</v>
      </c>
      <c r="AA25" s="18" t="n">
        <f aca="false">IF(F25=0,0,ROUND(T25*1440+F$3*60,0)/1440)</f>
        <v>0</v>
      </c>
      <c r="AB25" s="18" t="n">
        <f aca="false">IF(G25=0,0,ROUND(U25*1440+G$3*60,0)/1440)</f>
        <v>0</v>
      </c>
      <c r="AC25" s="18" t="n">
        <f aca="false">IF(H25=0,0,ROUND(V25*1440+H$3*60,0)/1440)</f>
        <v>0</v>
      </c>
      <c r="AD25" s="18" t="n">
        <f aca="false">IF(I25=0,0,ROUND(W25*1440+I$3*60,0)/1440)</f>
        <v>0</v>
      </c>
      <c r="AE25" s="18" t="n">
        <f aca="false">IF(J25=0,0,ROUND(X25*1440+J$3*60,0)/1440)</f>
        <v>0</v>
      </c>
      <c r="AF25" s="18" t="n">
        <f aca="false">IF(K25=0,0,ROUND(Y25*1440+K$3*60,0)/1440)</f>
        <v>0</v>
      </c>
      <c r="AG25" s="18" t="n">
        <f aca="false">IF(L25=0,0,ROUND(Z25*1440+L$3*60,0)/1440)</f>
        <v>0</v>
      </c>
      <c r="AH25" s="19" t="n">
        <f aca="false">SUMPRODUCT((MOD(AO$1:AU$1-0,7)&lt;Inputs!$B$6)*AO$2:AU$2*(AO24:AU24+1))*100+MOD(0-5,7)</f>
        <v>1602</v>
      </c>
      <c r="AI25" s="19" t="n">
        <f aca="false">SUMPRODUCT((MOD(AO$1:AU$1-1,7)&lt;Inputs!$B$6)*AO$2:AU$2*(AO24:AU24+1))*100+MOD(1-5,7)</f>
        <v>1403</v>
      </c>
      <c r="AJ25" s="19" t="n">
        <f aca="false">SUMPRODUCT((MOD(AO$1:AU$1-2,7)&lt;Inputs!$B$6)*AO$2:AU$2*(AO24:AU24+1))*100+MOD(2-5,7)</f>
        <v>1404</v>
      </c>
      <c r="AK25" s="19" t="n">
        <f aca="false">SUMPRODUCT((MOD(AO$1:AU$1-3,7)&lt;Inputs!$B$6)*AO$2:AU$2*(AO24:AU24+1))*100+MOD(3-5,7)</f>
        <v>1405</v>
      </c>
      <c r="AL25" s="19" t="n">
        <f aca="false">SUMPRODUCT((MOD(AO$1:AU$1-4,7)&lt;Inputs!$B$6)*AO$2:AU$2*(AO24:AU24+1))*100+MOD(4-5,7)</f>
        <v>1406</v>
      </c>
      <c r="AM25" s="19" t="n">
        <f aca="false">SUMPRODUCT((MOD(AO$1:AU$1-5,7)&lt;Inputs!$B$6)*AO$2:AU$2*(AO24:AU24+1))*100+MOD(5-5,7)</f>
        <v>1800</v>
      </c>
      <c r="AN25" s="19" t="n">
        <f aca="false">SUMPRODUCT((MOD(AO$1:AU$1-6,7)&lt;Inputs!$B$6)*AO$2:AU$2*(AO24:AU24+1))*100+MOD(6-5,7)</f>
        <v>1801</v>
      </c>
      <c r="AO25" s="19" t="n">
        <f aca="false">AO24+IF($B25=1,IF(MOD(0-$D25,7)&lt;Inputs!$B$6,1,0),0)</f>
        <v>3</v>
      </c>
      <c r="AP25" s="19" t="n">
        <f aca="false">AP24+IF($B25=1,IF(MOD(1-$D25,7)&lt;Inputs!$B$6,1,0),0)</f>
        <v>3</v>
      </c>
      <c r="AQ25" s="19" t="n">
        <f aca="false">AQ24+IF($B25=1,IF(MOD(2-$D25,7)&lt;Inputs!$B$6,1,0),0)</f>
        <v>2</v>
      </c>
      <c r="AR25" s="19" t="n">
        <f aca="false">AR24+IF($B25=1,IF(MOD(3-$D25,7)&lt;Inputs!$B$6,1,0),0)</f>
        <v>3</v>
      </c>
      <c r="AS25" s="19" t="n">
        <f aca="false">AS24+IF($B25=1,IF(MOD(4-$D25,7)&lt;Inputs!$B$6,1,0),0)</f>
        <v>2</v>
      </c>
      <c r="AT25" s="19" t="n">
        <f aca="false">AT24+IF($B25=1,IF(MOD(5-$D25,7)&lt;Inputs!$B$6,1,0),0)</f>
        <v>3</v>
      </c>
      <c r="AU25" s="19" t="n">
        <f aca="false">AU24+IF($B25=1,IF(MOD(6-$D25,7)&lt;Inputs!$B$6,1,0),0)</f>
        <v>4</v>
      </c>
    </row>
    <row r="26" customFormat="false" ht="15" hidden="false" customHeight="false" outlineLevel="0" collapsed="false">
      <c r="A26" s="0" t="n">
        <v>21</v>
      </c>
      <c r="B26" s="0" t="n">
        <f aca="false">IF(A26&lt;=Inputs!$B$3,1,0)</f>
        <v>0</v>
      </c>
      <c r="C26" s="0" t="n">
        <f aca="false">MOD(5+MOD(A26-1,7),7)</f>
        <v>4</v>
      </c>
      <c r="D26" s="0" t="n">
        <f aca="false">IF(Inputs!C43&lt;&gt;"",MATCH(Inputs!C43,Inputs!$A$11:$A$17,0)-1,IF(B26=0,0,MATCH(MIN(AH26:AN26),AH26:AN26,0)-1))</f>
        <v>0</v>
      </c>
      <c r="F26" s="0" t="n">
        <f aca="false">IF(OR($B26=0,F$3=0),0,IF(MOD(0-$D26,7)&lt;Inputs!$B$6,0,1))</f>
        <v>0</v>
      </c>
      <c r="G26" s="0" t="n">
        <f aca="false">IF(OR($B26=0,G$3=0),0,IF(MOD(1-$D26,7)&lt;Inputs!$B$6,0,1))</f>
        <v>0</v>
      </c>
      <c r="H26" s="0" t="n">
        <f aca="false">IF(OR($B26=0,H$3=0),0,IF(MOD(2-$D26,7)&lt;Inputs!$B$6,0,1))</f>
        <v>0</v>
      </c>
      <c r="I26" s="0" t="n">
        <f aca="false">IF(OR($B26=0,I$3=0),0,IF(MOD(3-$D26,7)&lt;Inputs!$B$6,0,1))</f>
        <v>0</v>
      </c>
      <c r="J26" s="0" t="n">
        <f aca="false">IF(OR($B26=0,J$3=0),0,IF(MOD(4-$D26,7)&lt;Inputs!$B$6,0,1))</f>
        <v>0</v>
      </c>
      <c r="K26" s="0" t="n">
        <f aca="false">IF(OR($B26=0,K$3=0),0,IF(MOD(5-$D26,7)&lt;Inputs!$B$6,0,1))</f>
        <v>0</v>
      </c>
      <c r="L26" s="0" t="n">
        <f aca="false">IF(OR($B26=0,L$3=0),0,IF(MOD(6-$D26,7)&lt;Inputs!$B$6,0,1))</f>
        <v>0</v>
      </c>
      <c r="M26" s="0" t="n">
        <f aca="false">SUM(F$6:F26)</f>
        <v>7</v>
      </c>
      <c r="N26" s="0" t="n">
        <f aca="false">SUM(G$6:G26)</f>
        <v>7</v>
      </c>
      <c r="O26" s="0" t="n">
        <f aca="false">SUM(H$6:H26)</f>
        <v>8</v>
      </c>
      <c r="P26" s="0" t="n">
        <f aca="false">SUM(I$6:I26)</f>
        <v>7</v>
      </c>
      <c r="Q26" s="0" t="n">
        <f aca="false">SUM(J$6:J26)</f>
        <v>8</v>
      </c>
      <c r="R26" s="0" t="n">
        <f aca="false">SUM(K$6:K26)</f>
        <v>7</v>
      </c>
      <c r="S26" s="0" t="n">
        <f aca="false">SUM(L$6:L26)</f>
        <v>6</v>
      </c>
      <c r="T26" s="18" t="n">
        <f aca="false">IF(F26=0,0,IF(Inputs!$D43="Open",F$1,IF(Inputs!$D43="Close",ROUND(F$2*1440-F$3*60,0)/1440,IF(OR(INT((M26-1)/Inputs!$B$7)=0,(INT((M$3-1-MOD(M26-1,Inputs!$B$7))/Inputs!$B$7)+1)&lt;=1),F$1,IF(INT((M26-1)/Inputs!$B$7)&gt;=(INT((M$3-1-MOD(M26-1,Inputs!$B$7))/Inputs!$B$7)+1)-1,ROUND(F$2*1440-F$3*60,0)/1440,MAX(F$1,MIN(ROUND(F$2*1440-F$3*60,0)/1440,ROUND((F$1+INT((M26-1)/Inputs!$B$7)/((INT((M$3-1-MOD(M26-1,Inputs!$B$7))/Inputs!$B$7)+1)-1)*((ROUND(F$2*1440-F$3*60,0)/1440)-F$1))*96,0)/96)))))))</f>
        <v>0</v>
      </c>
      <c r="U26" s="18" t="n">
        <f aca="false">IF(G26=0,0,IF(Inputs!$D43="Open",G$1,IF(Inputs!$D43="Close",ROUND(G$2*1440-G$3*60,0)/1440,IF(OR(INT((N26-1)/Inputs!$B$7)=0,(INT((N$3-1-MOD(N26-1,Inputs!$B$7))/Inputs!$B$7)+1)&lt;=1),G$1,IF(INT((N26-1)/Inputs!$B$7)&gt;=(INT((N$3-1-MOD(N26-1,Inputs!$B$7))/Inputs!$B$7)+1)-1,ROUND(G$2*1440-G$3*60,0)/1440,MAX(G$1,MIN(ROUND(G$2*1440-G$3*60,0)/1440,ROUND((G$1+INT((N26-1)/Inputs!$B$7)/((INT((N$3-1-MOD(N26-1,Inputs!$B$7))/Inputs!$B$7)+1)-1)*((ROUND(G$2*1440-G$3*60,0)/1440)-G$1))*96,0)/96)))))))</f>
        <v>0</v>
      </c>
      <c r="V26" s="18" t="n">
        <f aca="false">IF(H26=0,0,IF(Inputs!$D43="Open",H$1,IF(Inputs!$D43="Close",ROUND(H$2*1440-H$3*60,0)/1440,IF(OR(INT((O26-1)/Inputs!$B$7)=0,(INT((O$3-1-MOD(O26-1,Inputs!$B$7))/Inputs!$B$7)+1)&lt;=1),H$1,IF(INT((O26-1)/Inputs!$B$7)&gt;=(INT((O$3-1-MOD(O26-1,Inputs!$B$7))/Inputs!$B$7)+1)-1,ROUND(H$2*1440-H$3*60,0)/1440,MAX(H$1,MIN(ROUND(H$2*1440-H$3*60,0)/1440,ROUND((H$1+INT((O26-1)/Inputs!$B$7)/((INT((O$3-1-MOD(O26-1,Inputs!$B$7))/Inputs!$B$7)+1)-1)*((ROUND(H$2*1440-H$3*60,0)/1440)-H$1))*96,0)/96)))))))</f>
        <v>0</v>
      </c>
      <c r="W26" s="18" t="n">
        <f aca="false">IF(I26=0,0,IF(Inputs!$D43="Open",I$1,IF(Inputs!$D43="Close",ROUND(I$2*1440-I$3*60,0)/1440,IF(OR(INT((P26-1)/Inputs!$B$7)=0,(INT((P$3-1-MOD(P26-1,Inputs!$B$7))/Inputs!$B$7)+1)&lt;=1),I$1,IF(INT((P26-1)/Inputs!$B$7)&gt;=(INT((P$3-1-MOD(P26-1,Inputs!$B$7))/Inputs!$B$7)+1)-1,ROUND(I$2*1440-I$3*60,0)/1440,MAX(I$1,MIN(ROUND(I$2*1440-I$3*60,0)/1440,ROUND((I$1+INT((P26-1)/Inputs!$B$7)/((INT((P$3-1-MOD(P26-1,Inputs!$B$7))/Inputs!$B$7)+1)-1)*((ROUND(I$2*1440-I$3*60,0)/1440)-I$1))*96,0)/96)))))))</f>
        <v>0</v>
      </c>
      <c r="X26" s="18" t="n">
        <f aca="false">IF(J26=0,0,IF(Inputs!$D43="Open",J$1,IF(Inputs!$D43="Close",ROUND(J$2*1440-J$3*60,0)/1440,IF(OR(INT((Q26-1)/Inputs!$B$7)=0,(INT((Q$3-1-MOD(Q26-1,Inputs!$B$7))/Inputs!$B$7)+1)&lt;=1),J$1,IF(INT((Q26-1)/Inputs!$B$7)&gt;=(INT((Q$3-1-MOD(Q26-1,Inputs!$B$7))/Inputs!$B$7)+1)-1,ROUND(J$2*1440-J$3*60,0)/1440,MAX(J$1,MIN(ROUND(J$2*1440-J$3*60,0)/1440,ROUND((J$1+INT((Q26-1)/Inputs!$B$7)/((INT((Q$3-1-MOD(Q26-1,Inputs!$B$7))/Inputs!$B$7)+1)-1)*((ROUND(J$2*1440-J$3*60,0)/1440)-J$1))*96,0)/96)))))))</f>
        <v>0</v>
      </c>
      <c r="Y26" s="18" t="n">
        <f aca="false">IF(K26=0,0,IF(Inputs!$D43="Open",K$1,IF(Inputs!$D43="Close",ROUND(K$2*1440-K$3*60,0)/1440,IF(OR(INT((R26-1)/Inputs!$B$7)=0,(INT((R$3-1-MOD(R26-1,Inputs!$B$7))/Inputs!$B$7)+1)&lt;=1),K$1,IF(INT((R26-1)/Inputs!$B$7)&gt;=(INT((R$3-1-MOD(R26-1,Inputs!$B$7))/Inputs!$B$7)+1)-1,ROUND(K$2*1440-K$3*60,0)/1440,MAX(K$1,MIN(ROUND(K$2*1440-K$3*60,0)/1440,ROUND((K$1+INT((R26-1)/Inputs!$B$7)/((INT((R$3-1-MOD(R26-1,Inputs!$B$7))/Inputs!$B$7)+1)-1)*((ROUND(K$2*1440-K$3*60,0)/1440)-K$1))*96,0)/96)))))))</f>
        <v>0</v>
      </c>
      <c r="Z26" s="18" t="n">
        <f aca="false">IF(L26=0,0,IF(Inputs!$D43="Open",L$1,IF(Inputs!$D43="Close",ROUND(L$2*1440-L$3*60,0)/1440,IF(OR(INT((S26-1)/Inputs!$B$7)=0,(INT((S$3-1-MOD(S26-1,Inputs!$B$7))/Inputs!$B$7)+1)&lt;=1),L$1,IF(INT((S26-1)/Inputs!$B$7)&gt;=(INT((S$3-1-MOD(S26-1,Inputs!$B$7))/Inputs!$B$7)+1)-1,ROUND(L$2*1440-L$3*60,0)/1440,MAX(L$1,MIN(ROUND(L$2*1440-L$3*60,0)/1440,ROUND((L$1+INT((S26-1)/Inputs!$B$7)/((INT((S$3-1-MOD(S26-1,Inputs!$B$7))/Inputs!$B$7)+1)-1)*((ROUND(L$2*1440-L$3*60,0)/1440)-L$1))*96,0)/96)))))))</f>
        <v>0</v>
      </c>
      <c r="AA26" s="18" t="n">
        <f aca="false">IF(F26=0,0,ROUND(T26*1440+F$3*60,0)/1440)</f>
        <v>0</v>
      </c>
      <c r="AB26" s="18" t="n">
        <f aca="false">IF(G26=0,0,ROUND(U26*1440+G$3*60,0)/1440)</f>
        <v>0</v>
      </c>
      <c r="AC26" s="18" t="n">
        <f aca="false">IF(H26=0,0,ROUND(V26*1440+H$3*60,0)/1440)</f>
        <v>0</v>
      </c>
      <c r="AD26" s="18" t="n">
        <f aca="false">IF(I26=0,0,ROUND(W26*1440+I$3*60,0)/1440)</f>
        <v>0</v>
      </c>
      <c r="AE26" s="18" t="n">
        <f aca="false">IF(J26=0,0,ROUND(X26*1440+J$3*60,0)/1440)</f>
        <v>0</v>
      </c>
      <c r="AF26" s="18" t="n">
        <f aca="false">IF(K26=0,0,ROUND(Y26*1440+K$3*60,0)/1440)</f>
        <v>0</v>
      </c>
      <c r="AG26" s="18" t="n">
        <f aca="false">IF(L26=0,0,ROUND(Z26*1440+L$3*60,0)/1440)</f>
        <v>0</v>
      </c>
      <c r="AH26" s="19" t="n">
        <f aca="false">SUMPRODUCT((MOD(AO$1:AU$1-0,7)&lt;Inputs!$B$6)*AO$2:AU$2*(AO25:AU25+1))*100+MOD(0-5,7)</f>
        <v>1602</v>
      </c>
      <c r="AI26" s="19" t="n">
        <f aca="false">SUMPRODUCT((MOD(AO$1:AU$1-1,7)&lt;Inputs!$B$6)*AO$2:AU$2*(AO25:AU25+1))*100+MOD(1-5,7)</f>
        <v>1403</v>
      </c>
      <c r="AJ26" s="19" t="n">
        <f aca="false">SUMPRODUCT((MOD(AO$1:AU$1-2,7)&lt;Inputs!$B$6)*AO$2:AU$2*(AO25:AU25+1))*100+MOD(2-5,7)</f>
        <v>1404</v>
      </c>
      <c r="AK26" s="19" t="n">
        <f aca="false">SUMPRODUCT((MOD(AO$1:AU$1-3,7)&lt;Inputs!$B$6)*AO$2:AU$2*(AO25:AU25+1))*100+MOD(3-5,7)</f>
        <v>1405</v>
      </c>
      <c r="AL26" s="19" t="n">
        <f aca="false">SUMPRODUCT((MOD(AO$1:AU$1-4,7)&lt;Inputs!$B$6)*AO$2:AU$2*(AO25:AU25+1))*100+MOD(4-5,7)</f>
        <v>1406</v>
      </c>
      <c r="AM26" s="19" t="n">
        <f aca="false">SUMPRODUCT((MOD(AO$1:AU$1-5,7)&lt;Inputs!$B$6)*AO$2:AU$2*(AO25:AU25+1))*100+MOD(5-5,7)</f>
        <v>1800</v>
      </c>
      <c r="AN26" s="19" t="n">
        <f aca="false">SUMPRODUCT((MOD(AO$1:AU$1-6,7)&lt;Inputs!$B$6)*AO$2:AU$2*(AO25:AU25+1))*100+MOD(6-5,7)</f>
        <v>1801</v>
      </c>
      <c r="AO26" s="19" t="n">
        <f aca="false">AO25+IF($B26=1,IF(MOD(0-$D26,7)&lt;Inputs!$B$6,1,0),0)</f>
        <v>3</v>
      </c>
      <c r="AP26" s="19" t="n">
        <f aca="false">AP25+IF($B26=1,IF(MOD(1-$D26,7)&lt;Inputs!$B$6,1,0),0)</f>
        <v>3</v>
      </c>
      <c r="AQ26" s="19" t="n">
        <f aca="false">AQ25+IF($B26=1,IF(MOD(2-$D26,7)&lt;Inputs!$B$6,1,0),0)</f>
        <v>2</v>
      </c>
      <c r="AR26" s="19" t="n">
        <f aca="false">AR25+IF($B26=1,IF(MOD(3-$D26,7)&lt;Inputs!$B$6,1,0),0)</f>
        <v>3</v>
      </c>
      <c r="AS26" s="19" t="n">
        <f aca="false">AS25+IF($B26=1,IF(MOD(4-$D26,7)&lt;Inputs!$B$6,1,0),0)</f>
        <v>2</v>
      </c>
      <c r="AT26" s="19" t="n">
        <f aca="false">AT25+IF($B26=1,IF(MOD(5-$D26,7)&lt;Inputs!$B$6,1,0),0)</f>
        <v>3</v>
      </c>
      <c r="AU26" s="19" t="n">
        <f aca="false">AU25+IF($B26=1,IF(MOD(6-$D26,7)&lt;Inputs!$B$6,1,0),0)</f>
        <v>4</v>
      </c>
    </row>
    <row r="27" customFormat="false" ht="15" hidden="false" customHeight="false" outlineLevel="0" collapsed="false">
      <c r="A27" s="0" t="n">
        <v>22</v>
      </c>
      <c r="B27" s="0" t="n">
        <f aca="false">IF(A27&lt;=Inputs!$B$3,1,0)</f>
        <v>0</v>
      </c>
      <c r="C27" s="0" t="n">
        <f aca="false">MOD(5+MOD(A27-1,7),7)</f>
        <v>5</v>
      </c>
      <c r="D27" s="0" t="n">
        <f aca="false">IF(Inputs!C44&lt;&gt;"",MATCH(Inputs!C44,Inputs!$A$11:$A$17,0)-1,IF(B27=0,0,MATCH(MIN(AH27:AN27),AH27:AN27,0)-1))</f>
        <v>0</v>
      </c>
      <c r="F27" s="0" t="n">
        <f aca="false">IF(OR($B27=0,F$3=0),0,IF(MOD(0-$D27,7)&lt;Inputs!$B$6,0,1))</f>
        <v>0</v>
      </c>
      <c r="G27" s="0" t="n">
        <f aca="false">IF(OR($B27=0,G$3=0),0,IF(MOD(1-$D27,7)&lt;Inputs!$B$6,0,1))</f>
        <v>0</v>
      </c>
      <c r="H27" s="0" t="n">
        <f aca="false">IF(OR($B27=0,H$3=0),0,IF(MOD(2-$D27,7)&lt;Inputs!$B$6,0,1))</f>
        <v>0</v>
      </c>
      <c r="I27" s="0" t="n">
        <f aca="false">IF(OR($B27=0,I$3=0),0,IF(MOD(3-$D27,7)&lt;Inputs!$B$6,0,1))</f>
        <v>0</v>
      </c>
      <c r="J27" s="0" t="n">
        <f aca="false">IF(OR($B27=0,J$3=0),0,IF(MOD(4-$D27,7)&lt;Inputs!$B$6,0,1))</f>
        <v>0</v>
      </c>
      <c r="K27" s="0" t="n">
        <f aca="false">IF(OR($B27=0,K$3=0),0,IF(MOD(5-$D27,7)&lt;Inputs!$B$6,0,1))</f>
        <v>0</v>
      </c>
      <c r="L27" s="0" t="n">
        <f aca="false">IF(OR($B27=0,L$3=0),0,IF(MOD(6-$D27,7)&lt;Inputs!$B$6,0,1))</f>
        <v>0</v>
      </c>
      <c r="M27" s="0" t="n">
        <f aca="false">SUM(F$6:F27)</f>
        <v>7</v>
      </c>
      <c r="N27" s="0" t="n">
        <f aca="false">SUM(G$6:G27)</f>
        <v>7</v>
      </c>
      <c r="O27" s="0" t="n">
        <f aca="false">SUM(H$6:H27)</f>
        <v>8</v>
      </c>
      <c r="P27" s="0" t="n">
        <f aca="false">SUM(I$6:I27)</f>
        <v>7</v>
      </c>
      <c r="Q27" s="0" t="n">
        <f aca="false">SUM(J$6:J27)</f>
        <v>8</v>
      </c>
      <c r="R27" s="0" t="n">
        <f aca="false">SUM(K$6:K27)</f>
        <v>7</v>
      </c>
      <c r="S27" s="0" t="n">
        <f aca="false">SUM(L$6:L27)</f>
        <v>6</v>
      </c>
      <c r="T27" s="18" t="n">
        <f aca="false">IF(F27=0,0,IF(Inputs!$D44="Open",F$1,IF(Inputs!$D44="Close",ROUND(F$2*1440-F$3*60,0)/1440,IF(OR(INT((M27-1)/Inputs!$B$7)=0,(INT((M$3-1-MOD(M27-1,Inputs!$B$7))/Inputs!$B$7)+1)&lt;=1),F$1,IF(INT((M27-1)/Inputs!$B$7)&gt;=(INT((M$3-1-MOD(M27-1,Inputs!$B$7))/Inputs!$B$7)+1)-1,ROUND(F$2*1440-F$3*60,0)/1440,MAX(F$1,MIN(ROUND(F$2*1440-F$3*60,0)/1440,ROUND((F$1+INT((M27-1)/Inputs!$B$7)/((INT((M$3-1-MOD(M27-1,Inputs!$B$7))/Inputs!$B$7)+1)-1)*((ROUND(F$2*1440-F$3*60,0)/1440)-F$1))*96,0)/96)))))))</f>
        <v>0</v>
      </c>
      <c r="U27" s="18" t="n">
        <f aca="false">IF(G27=0,0,IF(Inputs!$D44="Open",G$1,IF(Inputs!$D44="Close",ROUND(G$2*1440-G$3*60,0)/1440,IF(OR(INT((N27-1)/Inputs!$B$7)=0,(INT((N$3-1-MOD(N27-1,Inputs!$B$7))/Inputs!$B$7)+1)&lt;=1),G$1,IF(INT((N27-1)/Inputs!$B$7)&gt;=(INT((N$3-1-MOD(N27-1,Inputs!$B$7))/Inputs!$B$7)+1)-1,ROUND(G$2*1440-G$3*60,0)/1440,MAX(G$1,MIN(ROUND(G$2*1440-G$3*60,0)/1440,ROUND((G$1+INT((N27-1)/Inputs!$B$7)/((INT((N$3-1-MOD(N27-1,Inputs!$B$7))/Inputs!$B$7)+1)-1)*((ROUND(G$2*1440-G$3*60,0)/1440)-G$1))*96,0)/96)))))))</f>
        <v>0</v>
      </c>
      <c r="V27" s="18" t="n">
        <f aca="false">IF(H27=0,0,IF(Inputs!$D44="Open",H$1,IF(Inputs!$D44="Close",ROUND(H$2*1440-H$3*60,0)/1440,IF(OR(INT((O27-1)/Inputs!$B$7)=0,(INT((O$3-1-MOD(O27-1,Inputs!$B$7))/Inputs!$B$7)+1)&lt;=1),H$1,IF(INT((O27-1)/Inputs!$B$7)&gt;=(INT((O$3-1-MOD(O27-1,Inputs!$B$7))/Inputs!$B$7)+1)-1,ROUND(H$2*1440-H$3*60,0)/1440,MAX(H$1,MIN(ROUND(H$2*1440-H$3*60,0)/1440,ROUND((H$1+INT((O27-1)/Inputs!$B$7)/((INT((O$3-1-MOD(O27-1,Inputs!$B$7))/Inputs!$B$7)+1)-1)*((ROUND(H$2*1440-H$3*60,0)/1440)-H$1))*96,0)/96)))))))</f>
        <v>0</v>
      </c>
      <c r="W27" s="18" t="n">
        <f aca="false">IF(I27=0,0,IF(Inputs!$D44="Open",I$1,IF(Inputs!$D44="Close",ROUND(I$2*1440-I$3*60,0)/1440,IF(OR(INT((P27-1)/Inputs!$B$7)=0,(INT((P$3-1-MOD(P27-1,Inputs!$B$7))/Inputs!$B$7)+1)&lt;=1),I$1,IF(INT((P27-1)/Inputs!$B$7)&gt;=(INT((P$3-1-MOD(P27-1,Inputs!$B$7))/Inputs!$B$7)+1)-1,ROUND(I$2*1440-I$3*60,0)/1440,MAX(I$1,MIN(ROUND(I$2*1440-I$3*60,0)/1440,ROUND((I$1+INT((P27-1)/Inputs!$B$7)/((INT((P$3-1-MOD(P27-1,Inputs!$B$7))/Inputs!$B$7)+1)-1)*((ROUND(I$2*1440-I$3*60,0)/1440)-I$1))*96,0)/96)))))))</f>
        <v>0</v>
      </c>
      <c r="X27" s="18" t="n">
        <f aca="false">IF(J27=0,0,IF(Inputs!$D44="Open",J$1,IF(Inputs!$D44="Close",ROUND(J$2*1440-J$3*60,0)/1440,IF(OR(INT((Q27-1)/Inputs!$B$7)=0,(INT((Q$3-1-MOD(Q27-1,Inputs!$B$7))/Inputs!$B$7)+1)&lt;=1),J$1,IF(INT((Q27-1)/Inputs!$B$7)&gt;=(INT((Q$3-1-MOD(Q27-1,Inputs!$B$7))/Inputs!$B$7)+1)-1,ROUND(J$2*1440-J$3*60,0)/1440,MAX(J$1,MIN(ROUND(J$2*1440-J$3*60,0)/1440,ROUND((J$1+INT((Q27-1)/Inputs!$B$7)/((INT((Q$3-1-MOD(Q27-1,Inputs!$B$7))/Inputs!$B$7)+1)-1)*((ROUND(J$2*1440-J$3*60,0)/1440)-J$1))*96,0)/96)))))))</f>
        <v>0</v>
      </c>
      <c r="Y27" s="18" t="n">
        <f aca="false">IF(K27=0,0,IF(Inputs!$D44="Open",K$1,IF(Inputs!$D44="Close",ROUND(K$2*1440-K$3*60,0)/1440,IF(OR(INT((R27-1)/Inputs!$B$7)=0,(INT((R$3-1-MOD(R27-1,Inputs!$B$7))/Inputs!$B$7)+1)&lt;=1),K$1,IF(INT((R27-1)/Inputs!$B$7)&gt;=(INT((R$3-1-MOD(R27-1,Inputs!$B$7))/Inputs!$B$7)+1)-1,ROUND(K$2*1440-K$3*60,0)/1440,MAX(K$1,MIN(ROUND(K$2*1440-K$3*60,0)/1440,ROUND((K$1+INT((R27-1)/Inputs!$B$7)/((INT((R$3-1-MOD(R27-1,Inputs!$B$7))/Inputs!$B$7)+1)-1)*((ROUND(K$2*1440-K$3*60,0)/1440)-K$1))*96,0)/96)))))))</f>
        <v>0</v>
      </c>
      <c r="Z27" s="18" t="n">
        <f aca="false">IF(L27=0,0,IF(Inputs!$D44="Open",L$1,IF(Inputs!$D44="Close",ROUND(L$2*1440-L$3*60,0)/1440,IF(OR(INT((S27-1)/Inputs!$B$7)=0,(INT((S$3-1-MOD(S27-1,Inputs!$B$7))/Inputs!$B$7)+1)&lt;=1),L$1,IF(INT((S27-1)/Inputs!$B$7)&gt;=(INT((S$3-1-MOD(S27-1,Inputs!$B$7))/Inputs!$B$7)+1)-1,ROUND(L$2*1440-L$3*60,0)/1440,MAX(L$1,MIN(ROUND(L$2*1440-L$3*60,0)/1440,ROUND((L$1+INT((S27-1)/Inputs!$B$7)/((INT((S$3-1-MOD(S27-1,Inputs!$B$7))/Inputs!$B$7)+1)-1)*((ROUND(L$2*1440-L$3*60,0)/1440)-L$1))*96,0)/96)))))))</f>
        <v>0</v>
      </c>
      <c r="AA27" s="18" t="n">
        <f aca="false">IF(F27=0,0,ROUND(T27*1440+F$3*60,0)/1440)</f>
        <v>0</v>
      </c>
      <c r="AB27" s="18" t="n">
        <f aca="false">IF(G27=0,0,ROUND(U27*1440+G$3*60,0)/1440)</f>
        <v>0</v>
      </c>
      <c r="AC27" s="18" t="n">
        <f aca="false">IF(H27=0,0,ROUND(V27*1440+H$3*60,0)/1440)</f>
        <v>0</v>
      </c>
      <c r="AD27" s="18" t="n">
        <f aca="false">IF(I27=0,0,ROUND(W27*1440+I$3*60,0)/1440)</f>
        <v>0</v>
      </c>
      <c r="AE27" s="18" t="n">
        <f aca="false">IF(J27=0,0,ROUND(X27*1440+J$3*60,0)/1440)</f>
        <v>0</v>
      </c>
      <c r="AF27" s="18" t="n">
        <f aca="false">IF(K27=0,0,ROUND(Y27*1440+K$3*60,0)/1440)</f>
        <v>0</v>
      </c>
      <c r="AG27" s="18" t="n">
        <f aca="false">IF(L27=0,0,ROUND(Z27*1440+L$3*60,0)/1440)</f>
        <v>0</v>
      </c>
      <c r="AH27" s="19" t="n">
        <f aca="false">SUMPRODUCT((MOD(AO$1:AU$1-0,7)&lt;Inputs!$B$6)*AO$2:AU$2*(AO26:AU26+1))*100+MOD(0-5,7)</f>
        <v>1602</v>
      </c>
      <c r="AI27" s="19" t="n">
        <f aca="false">SUMPRODUCT((MOD(AO$1:AU$1-1,7)&lt;Inputs!$B$6)*AO$2:AU$2*(AO26:AU26+1))*100+MOD(1-5,7)</f>
        <v>1403</v>
      </c>
      <c r="AJ27" s="19" t="n">
        <f aca="false">SUMPRODUCT((MOD(AO$1:AU$1-2,7)&lt;Inputs!$B$6)*AO$2:AU$2*(AO26:AU26+1))*100+MOD(2-5,7)</f>
        <v>1404</v>
      </c>
      <c r="AK27" s="19" t="n">
        <f aca="false">SUMPRODUCT((MOD(AO$1:AU$1-3,7)&lt;Inputs!$B$6)*AO$2:AU$2*(AO26:AU26+1))*100+MOD(3-5,7)</f>
        <v>1405</v>
      </c>
      <c r="AL27" s="19" t="n">
        <f aca="false">SUMPRODUCT((MOD(AO$1:AU$1-4,7)&lt;Inputs!$B$6)*AO$2:AU$2*(AO26:AU26+1))*100+MOD(4-5,7)</f>
        <v>1406</v>
      </c>
      <c r="AM27" s="19" t="n">
        <f aca="false">SUMPRODUCT((MOD(AO$1:AU$1-5,7)&lt;Inputs!$B$6)*AO$2:AU$2*(AO26:AU26+1))*100+MOD(5-5,7)</f>
        <v>1800</v>
      </c>
      <c r="AN27" s="19" t="n">
        <f aca="false">SUMPRODUCT((MOD(AO$1:AU$1-6,7)&lt;Inputs!$B$6)*AO$2:AU$2*(AO26:AU26+1))*100+MOD(6-5,7)</f>
        <v>1801</v>
      </c>
      <c r="AO27" s="19" t="n">
        <f aca="false">AO26+IF($B27=1,IF(MOD(0-$D27,7)&lt;Inputs!$B$6,1,0),0)</f>
        <v>3</v>
      </c>
      <c r="AP27" s="19" t="n">
        <f aca="false">AP26+IF($B27=1,IF(MOD(1-$D27,7)&lt;Inputs!$B$6,1,0),0)</f>
        <v>3</v>
      </c>
      <c r="AQ27" s="19" t="n">
        <f aca="false">AQ26+IF($B27=1,IF(MOD(2-$D27,7)&lt;Inputs!$B$6,1,0),0)</f>
        <v>2</v>
      </c>
      <c r="AR27" s="19" t="n">
        <f aca="false">AR26+IF($B27=1,IF(MOD(3-$D27,7)&lt;Inputs!$B$6,1,0),0)</f>
        <v>3</v>
      </c>
      <c r="AS27" s="19" t="n">
        <f aca="false">AS26+IF($B27=1,IF(MOD(4-$D27,7)&lt;Inputs!$B$6,1,0),0)</f>
        <v>2</v>
      </c>
      <c r="AT27" s="19" t="n">
        <f aca="false">AT26+IF($B27=1,IF(MOD(5-$D27,7)&lt;Inputs!$B$6,1,0),0)</f>
        <v>3</v>
      </c>
      <c r="AU27" s="19" t="n">
        <f aca="false">AU26+IF($B27=1,IF(MOD(6-$D27,7)&lt;Inputs!$B$6,1,0),0)</f>
        <v>4</v>
      </c>
    </row>
    <row r="28" customFormat="false" ht="15" hidden="false" customHeight="false" outlineLevel="0" collapsed="false">
      <c r="A28" s="0" t="n">
        <v>23</v>
      </c>
      <c r="B28" s="0" t="n">
        <f aca="false">IF(A28&lt;=Inputs!$B$3,1,0)</f>
        <v>0</v>
      </c>
      <c r="C28" s="0" t="n">
        <f aca="false">MOD(5+MOD(A28-1,7),7)</f>
        <v>6</v>
      </c>
      <c r="D28" s="0" t="n">
        <f aca="false">IF(Inputs!C45&lt;&gt;"",MATCH(Inputs!C45,Inputs!$A$11:$A$17,0)-1,IF(B28=0,0,MATCH(MIN(AH28:AN28),AH28:AN28,0)-1))</f>
        <v>0</v>
      </c>
      <c r="F28" s="0" t="n">
        <f aca="false">IF(OR($B28=0,F$3=0),0,IF(MOD(0-$D28,7)&lt;Inputs!$B$6,0,1))</f>
        <v>0</v>
      </c>
      <c r="G28" s="0" t="n">
        <f aca="false">IF(OR($B28=0,G$3=0),0,IF(MOD(1-$D28,7)&lt;Inputs!$B$6,0,1))</f>
        <v>0</v>
      </c>
      <c r="H28" s="0" t="n">
        <f aca="false">IF(OR($B28=0,H$3=0),0,IF(MOD(2-$D28,7)&lt;Inputs!$B$6,0,1))</f>
        <v>0</v>
      </c>
      <c r="I28" s="0" t="n">
        <f aca="false">IF(OR($B28=0,I$3=0),0,IF(MOD(3-$D28,7)&lt;Inputs!$B$6,0,1))</f>
        <v>0</v>
      </c>
      <c r="J28" s="0" t="n">
        <f aca="false">IF(OR($B28=0,J$3=0),0,IF(MOD(4-$D28,7)&lt;Inputs!$B$6,0,1))</f>
        <v>0</v>
      </c>
      <c r="K28" s="0" t="n">
        <f aca="false">IF(OR($B28=0,K$3=0),0,IF(MOD(5-$D28,7)&lt;Inputs!$B$6,0,1))</f>
        <v>0</v>
      </c>
      <c r="L28" s="0" t="n">
        <f aca="false">IF(OR($B28=0,L$3=0),0,IF(MOD(6-$D28,7)&lt;Inputs!$B$6,0,1))</f>
        <v>0</v>
      </c>
      <c r="M28" s="0" t="n">
        <f aca="false">SUM(F$6:F28)</f>
        <v>7</v>
      </c>
      <c r="N28" s="0" t="n">
        <f aca="false">SUM(G$6:G28)</f>
        <v>7</v>
      </c>
      <c r="O28" s="0" t="n">
        <f aca="false">SUM(H$6:H28)</f>
        <v>8</v>
      </c>
      <c r="P28" s="0" t="n">
        <f aca="false">SUM(I$6:I28)</f>
        <v>7</v>
      </c>
      <c r="Q28" s="0" t="n">
        <f aca="false">SUM(J$6:J28)</f>
        <v>8</v>
      </c>
      <c r="R28" s="0" t="n">
        <f aca="false">SUM(K$6:K28)</f>
        <v>7</v>
      </c>
      <c r="S28" s="0" t="n">
        <f aca="false">SUM(L$6:L28)</f>
        <v>6</v>
      </c>
      <c r="T28" s="18" t="n">
        <f aca="false">IF(F28=0,0,IF(Inputs!$D45="Open",F$1,IF(Inputs!$D45="Close",ROUND(F$2*1440-F$3*60,0)/1440,IF(OR(INT((M28-1)/Inputs!$B$7)=0,(INT((M$3-1-MOD(M28-1,Inputs!$B$7))/Inputs!$B$7)+1)&lt;=1),F$1,IF(INT((M28-1)/Inputs!$B$7)&gt;=(INT((M$3-1-MOD(M28-1,Inputs!$B$7))/Inputs!$B$7)+1)-1,ROUND(F$2*1440-F$3*60,0)/1440,MAX(F$1,MIN(ROUND(F$2*1440-F$3*60,0)/1440,ROUND((F$1+INT((M28-1)/Inputs!$B$7)/((INT((M$3-1-MOD(M28-1,Inputs!$B$7))/Inputs!$B$7)+1)-1)*((ROUND(F$2*1440-F$3*60,0)/1440)-F$1))*96,0)/96)))))))</f>
        <v>0</v>
      </c>
      <c r="U28" s="18" t="n">
        <f aca="false">IF(G28=0,0,IF(Inputs!$D45="Open",G$1,IF(Inputs!$D45="Close",ROUND(G$2*1440-G$3*60,0)/1440,IF(OR(INT((N28-1)/Inputs!$B$7)=0,(INT((N$3-1-MOD(N28-1,Inputs!$B$7))/Inputs!$B$7)+1)&lt;=1),G$1,IF(INT((N28-1)/Inputs!$B$7)&gt;=(INT((N$3-1-MOD(N28-1,Inputs!$B$7))/Inputs!$B$7)+1)-1,ROUND(G$2*1440-G$3*60,0)/1440,MAX(G$1,MIN(ROUND(G$2*1440-G$3*60,0)/1440,ROUND((G$1+INT((N28-1)/Inputs!$B$7)/((INT((N$3-1-MOD(N28-1,Inputs!$B$7))/Inputs!$B$7)+1)-1)*((ROUND(G$2*1440-G$3*60,0)/1440)-G$1))*96,0)/96)))))))</f>
        <v>0</v>
      </c>
      <c r="V28" s="18" t="n">
        <f aca="false">IF(H28=0,0,IF(Inputs!$D45="Open",H$1,IF(Inputs!$D45="Close",ROUND(H$2*1440-H$3*60,0)/1440,IF(OR(INT((O28-1)/Inputs!$B$7)=0,(INT((O$3-1-MOD(O28-1,Inputs!$B$7))/Inputs!$B$7)+1)&lt;=1),H$1,IF(INT((O28-1)/Inputs!$B$7)&gt;=(INT((O$3-1-MOD(O28-1,Inputs!$B$7))/Inputs!$B$7)+1)-1,ROUND(H$2*1440-H$3*60,0)/1440,MAX(H$1,MIN(ROUND(H$2*1440-H$3*60,0)/1440,ROUND((H$1+INT((O28-1)/Inputs!$B$7)/((INT((O$3-1-MOD(O28-1,Inputs!$B$7))/Inputs!$B$7)+1)-1)*((ROUND(H$2*1440-H$3*60,0)/1440)-H$1))*96,0)/96)))))))</f>
        <v>0</v>
      </c>
      <c r="W28" s="18" t="n">
        <f aca="false">IF(I28=0,0,IF(Inputs!$D45="Open",I$1,IF(Inputs!$D45="Close",ROUND(I$2*1440-I$3*60,0)/1440,IF(OR(INT((P28-1)/Inputs!$B$7)=0,(INT((P$3-1-MOD(P28-1,Inputs!$B$7))/Inputs!$B$7)+1)&lt;=1),I$1,IF(INT((P28-1)/Inputs!$B$7)&gt;=(INT((P$3-1-MOD(P28-1,Inputs!$B$7))/Inputs!$B$7)+1)-1,ROUND(I$2*1440-I$3*60,0)/1440,MAX(I$1,MIN(ROUND(I$2*1440-I$3*60,0)/1440,ROUND((I$1+INT((P28-1)/Inputs!$B$7)/((INT((P$3-1-MOD(P28-1,Inputs!$B$7))/Inputs!$B$7)+1)-1)*((ROUND(I$2*1440-I$3*60,0)/1440)-I$1))*96,0)/96)))))))</f>
        <v>0</v>
      </c>
      <c r="X28" s="18" t="n">
        <f aca="false">IF(J28=0,0,IF(Inputs!$D45="Open",J$1,IF(Inputs!$D45="Close",ROUND(J$2*1440-J$3*60,0)/1440,IF(OR(INT((Q28-1)/Inputs!$B$7)=0,(INT((Q$3-1-MOD(Q28-1,Inputs!$B$7))/Inputs!$B$7)+1)&lt;=1),J$1,IF(INT((Q28-1)/Inputs!$B$7)&gt;=(INT((Q$3-1-MOD(Q28-1,Inputs!$B$7))/Inputs!$B$7)+1)-1,ROUND(J$2*1440-J$3*60,0)/1440,MAX(J$1,MIN(ROUND(J$2*1440-J$3*60,0)/1440,ROUND((J$1+INT((Q28-1)/Inputs!$B$7)/((INT((Q$3-1-MOD(Q28-1,Inputs!$B$7))/Inputs!$B$7)+1)-1)*((ROUND(J$2*1440-J$3*60,0)/1440)-J$1))*96,0)/96)))))))</f>
        <v>0</v>
      </c>
      <c r="Y28" s="18" t="n">
        <f aca="false">IF(K28=0,0,IF(Inputs!$D45="Open",K$1,IF(Inputs!$D45="Close",ROUND(K$2*1440-K$3*60,0)/1440,IF(OR(INT((R28-1)/Inputs!$B$7)=0,(INT((R$3-1-MOD(R28-1,Inputs!$B$7))/Inputs!$B$7)+1)&lt;=1),K$1,IF(INT((R28-1)/Inputs!$B$7)&gt;=(INT((R$3-1-MOD(R28-1,Inputs!$B$7))/Inputs!$B$7)+1)-1,ROUND(K$2*1440-K$3*60,0)/1440,MAX(K$1,MIN(ROUND(K$2*1440-K$3*60,0)/1440,ROUND((K$1+INT((R28-1)/Inputs!$B$7)/((INT((R$3-1-MOD(R28-1,Inputs!$B$7))/Inputs!$B$7)+1)-1)*((ROUND(K$2*1440-K$3*60,0)/1440)-K$1))*96,0)/96)))))))</f>
        <v>0</v>
      </c>
      <c r="Z28" s="18" t="n">
        <f aca="false">IF(L28=0,0,IF(Inputs!$D45="Open",L$1,IF(Inputs!$D45="Close",ROUND(L$2*1440-L$3*60,0)/1440,IF(OR(INT((S28-1)/Inputs!$B$7)=0,(INT((S$3-1-MOD(S28-1,Inputs!$B$7))/Inputs!$B$7)+1)&lt;=1),L$1,IF(INT((S28-1)/Inputs!$B$7)&gt;=(INT((S$3-1-MOD(S28-1,Inputs!$B$7))/Inputs!$B$7)+1)-1,ROUND(L$2*1440-L$3*60,0)/1440,MAX(L$1,MIN(ROUND(L$2*1440-L$3*60,0)/1440,ROUND((L$1+INT((S28-1)/Inputs!$B$7)/((INT((S$3-1-MOD(S28-1,Inputs!$B$7))/Inputs!$B$7)+1)-1)*((ROUND(L$2*1440-L$3*60,0)/1440)-L$1))*96,0)/96)))))))</f>
        <v>0</v>
      </c>
      <c r="AA28" s="18" t="n">
        <f aca="false">IF(F28=0,0,ROUND(T28*1440+F$3*60,0)/1440)</f>
        <v>0</v>
      </c>
      <c r="AB28" s="18" t="n">
        <f aca="false">IF(G28=0,0,ROUND(U28*1440+G$3*60,0)/1440)</f>
        <v>0</v>
      </c>
      <c r="AC28" s="18" t="n">
        <f aca="false">IF(H28=0,0,ROUND(V28*1440+H$3*60,0)/1440)</f>
        <v>0</v>
      </c>
      <c r="AD28" s="18" t="n">
        <f aca="false">IF(I28=0,0,ROUND(W28*1440+I$3*60,0)/1440)</f>
        <v>0</v>
      </c>
      <c r="AE28" s="18" t="n">
        <f aca="false">IF(J28=0,0,ROUND(X28*1440+J$3*60,0)/1440)</f>
        <v>0</v>
      </c>
      <c r="AF28" s="18" t="n">
        <f aca="false">IF(K28=0,0,ROUND(Y28*1440+K$3*60,0)/1440)</f>
        <v>0</v>
      </c>
      <c r="AG28" s="18" t="n">
        <f aca="false">IF(L28=0,0,ROUND(Z28*1440+L$3*60,0)/1440)</f>
        <v>0</v>
      </c>
      <c r="AH28" s="19" t="n">
        <f aca="false">SUMPRODUCT((MOD(AO$1:AU$1-0,7)&lt;Inputs!$B$6)*AO$2:AU$2*(AO27:AU27+1))*100+MOD(0-5,7)</f>
        <v>1602</v>
      </c>
      <c r="AI28" s="19" t="n">
        <f aca="false">SUMPRODUCT((MOD(AO$1:AU$1-1,7)&lt;Inputs!$B$6)*AO$2:AU$2*(AO27:AU27+1))*100+MOD(1-5,7)</f>
        <v>1403</v>
      </c>
      <c r="AJ28" s="19" t="n">
        <f aca="false">SUMPRODUCT((MOD(AO$1:AU$1-2,7)&lt;Inputs!$B$6)*AO$2:AU$2*(AO27:AU27+1))*100+MOD(2-5,7)</f>
        <v>1404</v>
      </c>
      <c r="AK28" s="19" t="n">
        <f aca="false">SUMPRODUCT((MOD(AO$1:AU$1-3,7)&lt;Inputs!$B$6)*AO$2:AU$2*(AO27:AU27+1))*100+MOD(3-5,7)</f>
        <v>1405</v>
      </c>
      <c r="AL28" s="19" t="n">
        <f aca="false">SUMPRODUCT((MOD(AO$1:AU$1-4,7)&lt;Inputs!$B$6)*AO$2:AU$2*(AO27:AU27+1))*100+MOD(4-5,7)</f>
        <v>1406</v>
      </c>
      <c r="AM28" s="19" t="n">
        <f aca="false">SUMPRODUCT((MOD(AO$1:AU$1-5,7)&lt;Inputs!$B$6)*AO$2:AU$2*(AO27:AU27+1))*100+MOD(5-5,7)</f>
        <v>1800</v>
      </c>
      <c r="AN28" s="19" t="n">
        <f aca="false">SUMPRODUCT((MOD(AO$1:AU$1-6,7)&lt;Inputs!$B$6)*AO$2:AU$2*(AO27:AU27+1))*100+MOD(6-5,7)</f>
        <v>1801</v>
      </c>
      <c r="AO28" s="19" t="n">
        <f aca="false">AO27+IF($B28=1,IF(MOD(0-$D28,7)&lt;Inputs!$B$6,1,0),0)</f>
        <v>3</v>
      </c>
      <c r="AP28" s="19" t="n">
        <f aca="false">AP27+IF($B28=1,IF(MOD(1-$D28,7)&lt;Inputs!$B$6,1,0),0)</f>
        <v>3</v>
      </c>
      <c r="AQ28" s="19" t="n">
        <f aca="false">AQ27+IF($B28=1,IF(MOD(2-$D28,7)&lt;Inputs!$B$6,1,0),0)</f>
        <v>2</v>
      </c>
      <c r="AR28" s="19" t="n">
        <f aca="false">AR27+IF($B28=1,IF(MOD(3-$D28,7)&lt;Inputs!$B$6,1,0),0)</f>
        <v>3</v>
      </c>
      <c r="AS28" s="19" t="n">
        <f aca="false">AS27+IF($B28=1,IF(MOD(4-$D28,7)&lt;Inputs!$B$6,1,0),0)</f>
        <v>2</v>
      </c>
      <c r="AT28" s="19" t="n">
        <f aca="false">AT27+IF($B28=1,IF(MOD(5-$D28,7)&lt;Inputs!$B$6,1,0),0)</f>
        <v>3</v>
      </c>
      <c r="AU28" s="19" t="n">
        <f aca="false">AU27+IF($B28=1,IF(MOD(6-$D28,7)&lt;Inputs!$B$6,1,0),0)</f>
        <v>4</v>
      </c>
    </row>
    <row r="29" customFormat="false" ht="15" hidden="false" customHeight="false" outlineLevel="0" collapsed="false">
      <c r="A29" s="0" t="n">
        <v>24</v>
      </c>
      <c r="B29" s="0" t="n">
        <f aca="false">IF(A29&lt;=Inputs!$B$3,1,0)</f>
        <v>0</v>
      </c>
      <c r="C29" s="0" t="n">
        <f aca="false">MOD(5+MOD(A29-1,7),7)</f>
        <v>0</v>
      </c>
      <c r="D29" s="0" t="n">
        <f aca="false">IF(Inputs!C46&lt;&gt;"",MATCH(Inputs!C46,Inputs!$A$11:$A$17,0)-1,IF(B29=0,0,MATCH(MIN(AH29:AN29),AH29:AN29,0)-1))</f>
        <v>0</v>
      </c>
      <c r="F29" s="0" t="n">
        <f aca="false">IF(OR($B29=0,F$3=0),0,IF(MOD(0-$D29,7)&lt;Inputs!$B$6,0,1))</f>
        <v>0</v>
      </c>
      <c r="G29" s="0" t="n">
        <f aca="false">IF(OR($B29=0,G$3=0),0,IF(MOD(1-$D29,7)&lt;Inputs!$B$6,0,1))</f>
        <v>0</v>
      </c>
      <c r="H29" s="0" t="n">
        <f aca="false">IF(OR($B29=0,H$3=0),0,IF(MOD(2-$D29,7)&lt;Inputs!$B$6,0,1))</f>
        <v>0</v>
      </c>
      <c r="I29" s="0" t="n">
        <f aca="false">IF(OR($B29=0,I$3=0),0,IF(MOD(3-$D29,7)&lt;Inputs!$B$6,0,1))</f>
        <v>0</v>
      </c>
      <c r="J29" s="0" t="n">
        <f aca="false">IF(OR($B29=0,J$3=0),0,IF(MOD(4-$D29,7)&lt;Inputs!$B$6,0,1))</f>
        <v>0</v>
      </c>
      <c r="K29" s="0" t="n">
        <f aca="false">IF(OR($B29=0,K$3=0),0,IF(MOD(5-$D29,7)&lt;Inputs!$B$6,0,1))</f>
        <v>0</v>
      </c>
      <c r="L29" s="0" t="n">
        <f aca="false">IF(OR($B29=0,L$3=0),0,IF(MOD(6-$D29,7)&lt;Inputs!$B$6,0,1))</f>
        <v>0</v>
      </c>
      <c r="M29" s="0" t="n">
        <f aca="false">SUM(F$6:F29)</f>
        <v>7</v>
      </c>
      <c r="N29" s="0" t="n">
        <f aca="false">SUM(G$6:G29)</f>
        <v>7</v>
      </c>
      <c r="O29" s="0" t="n">
        <f aca="false">SUM(H$6:H29)</f>
        <v>8</v>
      </c>
      <c r="P29" s="0" t="n">
        <f aca="false">SUM(I$6:I29)</f>
        <v>7</v>
      </c>
      <c r="Q29" s="0" t="n">
        <f aca="false">SUM(J$6:J29)</f>
        <v>8</v>
      </c>
      <c r="R29" s="0" t="n">
        <f aca="false">SUM(K$6:K29)</f>
        <v>7</v>
      </c>
      <c r="S29" s="0" t="n">
        <f aca="false">SUM(L$6:L29)</f>
        <v>6</v>
      </c>
      <c r="T29" s="18" t="n">
        <f aca="false">IF(F29=0,0,IF(Inputs!$D46="Open",F$1,IF(Inputs!$D46="Close",ROUND(F$2*1440-F$3*60,0)/1440,IF(OR(INT((M29-1)/Inputs!$B$7)=0,(INT((M$3-1-MOD(M29-1,Inputs!$B$7))/Inputs!$B$7)+1)&lt;=1),F$1,IF(INT((M29-1)/Inputs!$B$7)&gt;=(INT((M$3-1-MOD(M29-1,Inputs!$B$7))/Inputs!$B$7)+1)-1,ROUND(F$2*1440-F$3*60,0)/1440,MAX(F$1,MIN(ROUND(F$2*1440-F$3*60,0)/1440,ROUND((F$1+INT((M29-1)/Inputs!$B$7)/((INT((M$3-1-MOD(M29-1,Inputs!$B$7))/Inputs!$B$7)+1)-1)*((ROUND(F$2*1440-F$3*60,0)/1440)-F$1))*96,0)/96)))))))</f>
        <v>0</v>
      </c>
      <c r="U29" s="18" t="n">
        <f aca="false">IF(G29=0,0,IF(Inputs!$D46="Open",G$1,IF(Inputs!$D46="Close",ROUND(G$2*1440-G$3*60,0)/1440,IF(OR(INT((N29-1)/Inputs!$B$7)=0,(INT((N$3-1-MOD(N29-1,Inputs!$B$7))/Inputs!$B$7)+1)&lt;=1),G$1,IF(INT((N29-1)/Inputs!$B$7)&gt;=(INT((N$3-1-MOD(N29-1,Inputs!$B$7))/Inputs!$B$7)+1)-1,ROUND(G$2*1440-G$3*60,0)/1440,MAX(G$1,MIN(ROUND(G$2*1440-G$3*60,0)/1440,ROUND((G$1+INT((N29-1)/Inputs!$B$7)/((INT((N$3-1-MOD(N29-1,Inputs!$B$7))/Inputs!$B$7)+1)-1)*((ROUND(G$2*1440-G$3*60,0)/1440)-G$1))*96,0)/96)))))))</f>
        <v>0</v>
      </c>
      <c r="V29" s="18" t="n">
        <f aca="false">IF(H29=0,0,IF(Inputs!$D46="Open",H$1,IF(Inputs!$D46="Close",ROUND(H$2*1440-H$3*60,0)/1440,IF(OR(INT((O29-1)/Inputs!$B$7)=0,(INT((O$3-1-MOD(O29-1,Inputs!$B$7))/Inputs!$B$7)+1)&lt;=1),H$1,IF(INT((O29-1)/Inputs!$B$7)&gt;=(INT((O$3-1-MOD(O29-1,Inputs!$B$7))/Inputs!$B$7)+1)-1,ROUND(H$2*1440-H$3*60,0)/1440,MAX(H$1,MIN(ROUND(H$2*1440-H$3*60,0)/1440,ROUND((H$1+INT((O29-1)/Inputs!$B$7)/((INT((O$3-1-MOD(O29-1,Inputs!$B$7))/Inputs!$B$7)+1)-1)*((ROUND(H$2*1440-H$3*60,0)/1440)-H$1))*96,0)/96)))))))</f>
        <v>0</v>
      </c>
      <c r="W29" s="18" t="n">
        <f aca="false">IF(I29=0,0,IF(Inputs!$D46="Open",I$1,IF(Inputs!$D46="Close",ROUND(I$2*1440-I$3*60,0)/1440,IF(OR(INT((P29-1)/Inputs!$B$7)=0,(INT((P$3-1-MOD(P29-1,Inputs!$B$7))/Inputs!$B$7)+1)&lt;=1),I$1,IF(INT((P29-1)/Inputs!$B$7)&gt;=(INT((P$3-1-MOD(P29-1,Inputs!$B$7))/Inputs!$B$7)+1)-1,ROUND(I$2*1440-I$3*60,0)/1440,MAX(I$1,MIN(ROUND(I$2*1440-I$3*60,0)/1440,ROUND((I$1+INT((P29-1)/Inputs!$B$7)/((INT((P$3-1-MOD(P29-1,Inputs!$B$7))/Inputs!$B$7)+1)-1)*((ROUND(I$2*1440-I$3*60,0)/1440)-I$1))*96,0)/96)))))))</f>
        <v>0</v>
      </c>
      <c r="X29" s="18" t="n">
        <f aca="false">IF(J29=0,0,IF(Inputs!$D46="Open",J$1,IF(Inputs!$D46="Close",ROUND(J$2*1440-J$3*60,0)/1440,IF(OR(INT((Q29-1)/Inputs!$B$7)=0,(INT((Q$3-1-MOD(Q29-1,Inputs!$B$7))/Inputs!$B$7)+1)&lt;=1),J$1,IF(INT((Q29-1)/Inputs!$B$7)&gt;=(INT((Q$3-1-MOD(Q29-1,Inputs!$B$7))/Inputs!$B$7)+1)-1,ROUND(J$2*1440-J$3*60,0)/1440,MAX(J$1,MIN(ROUND(J$2*1440-J$3*60,0)/1440,ROUND((J$1+INT((Q29-1)/Inputs!$B$7)/((INT((Q$3-1-MOD(Q29-1,Inputs!$B$7))/Inputs!$B$7)+1)-1)*((ROUND(J$2*1440-J$3*60,0)/1440)-J$1))*96,0)/96)))))))</f>
        <v>0</v>
      </c>
      <c r="Y29" s="18" t="n">
        <f aca="false">IF(K29=0,0,IF(Inputs!$D46="Open",K$1,IF(Inputs!$D46="Close",ROUND(K$2*1440-K$3*60,0)/1440,IF(OR(INT((R29-1)/Inputs!$B$7)=0,(INT((R$3-1-MOD(R29-1,Inputs!$B$7))/Inputs!$B$7)+1)&lt;=1),K$1,IF(INT((R29-1)/Inputs!$B$7)&gt;=(INT((R$3-1-MOD(R29-1,Inputs!$B$7))/Inputs!$B$7)+1)-1,ROUND(K$2*1440-K$3*60,0)/1440,MAX(K$1,MIN(ROUND(K$2*1440-K$3*60,0)/1440,ROUND((K$1+INT((R29-1)/Inputs!$B$7)/((INT((R$3-1-MOD(R29-1,Inputs!$B$7))/Inputs!$B$7)+1)-1)*((ROUND(K$2*1440-K$3*60,0)/1440)-K$1))*96,0)/96)))))))</f>
        <v>0</v>
      </c>
      <c r="Z29" s="18" t="n">
        <f aca="false">IF(L29=0,0,IF(Inputs!$D46="Open",L$1,IF(Inputs!$D46="Close",ROUND(L$2*1440-L$3*60,0)/1440,IF(OR(INT((S29-1)/Inputs!$B$7)=0,(INT((S$3-1-MOD(S29-1,Inputs!$B$7))/Inputs!$B$7)+1)&lt;=1),L$1,IF(INT((S29-1)/Inputs!$B$7)&gt;=(INT((S$3-1-MOD(S29-1,Inputs!$B$7))/Inputs!$B$7)+1)-1,ROUND(L$2*1440-L$3*60,0)/1440,MAX(L$1,MIN(ROUND(L$2*1440-L$3*60,0)/1440,ROUND((L$1+INT((S29-1)/Inputs!$B$7)/((INT((S$3-1-MOD(S29-1,Inputs!$B$7))/Inputs!$B$7)+1)-1)*((ROUND(L$2*1440-L$3*60,0)/1440)-L$1))*96,0)/96)))))))</f>
        <v>0</v>
      </c>
      <c r="AA29" s="18" t="n">
        <f aca="false">IF(F29=0,0,ROUND(T29*1440+F$3*60,0)/1440)</f>
        <v>0</v>
      </c>
      <c r="AB29" s="18" t="n">
        <f aca="false">IF(G29=0,0,ROUND(U29*1440+G$3*60,0)/1440)</f>
        <v>0</v>
      </c>
      <c r="AC29" s="18" t="n">
        <f aca="false">IF(H29=0,0,ROUND(V29*1440+H$3*60,0)/1440)</f>
        <v>0</v>
      </c>
      <c r="AD29" s="18" t="n">
        <f aca="false">IF(I29=0,0,ROUND(W29*1440+I$3*60,0)/1440)</f>
        <v>0</v>
      </c>
      <c r="AE29" s="18" t="n">
        <f aca="false">IF(J29=0,0,ROUND(X29*1440+J$3*60,0)/1440)</f>
        <v>0</v>
      </c>
      <c r="AF29" s="18" t="n">
        <f aca="false">IF(K29=0,0,ROUND(Y29*1440+K$3*60,0)/1440)</f>
        <v>0</v>
      </c>
      <c r="AG29" s="18" t="n">
        <f aca="false">IF(L29=0,0,ROUND(Z29*1440+L$3*60,0)/1440)</f>
        <v>0</v>
      </c>
      <c r="AH29" s="19" t="n">
        <f aca="false">SUMPRODUCT((MOD(AO$1:AU$1-0,7)&lt;Inputs!$B$6)*AO$2:AU$2*(AO28:AU28+1))*100+MOD(0-5,7)</f>
        <v>1602</v>
      </c>
      <c r="AI29" s="19" t="n">
        <f aca="false">SUMPRODUCT((MOD(AO$1:AU$1-1,7)&lt;Inputs!$B$6)*AO$2:AU$2*(AO28:AU28+1))*100+MOD(1-5,7)</f>
        <v>1403</v>
      </c>
      <c r="AJ29" s="19" t="n">
        <f aca="false">SUMPRODUCT((MOD(AO$1:AU$1-2,7)&lt;Inputs!$B$6)*AO$2:AU$2*(AO28:AU28+1))*100+MOD(2-5,7)</f>
        <v>1404</v>
      </c>
      <c r="AK29" s="19" t="n">
        <f aca="false">SUMPRODUCT((MOD(AO$1:AU$1-3,7)&lt;Inputs!$B$6)*AO$2:AU$2*(AO28:AU28+1))*100+MOD(3-5,7)</f>
        <v>1405</v>
      </c>
      <c r="AL29" s="19" t="n">
        <f aca="false">SUMPRODUCT((MOD(AO$1:AU$1-4,7)&lt;Inputs!$B$6)*AO$2:AU$2*(AO28:AU28+1))*100+MOD(4-5,7)</f>
        <v>1406</v>
      </c>
      <c r="AM29" s="19" t="n">
        <f aca="false">SUMPRODUCT((MOD(AO$1:AU$1-5,7)&lt;Inputs!$B$6)*AO$2:AU$2*(AO28:AU28+1))*100+MOD(5-5,7)</f>
        <v>1800</v>
      </c>
      <c r="AN29" s="19" t="n">
        <f aca="false">SUMPRODUCT((MOD(AO$1:AU$1-6,7)&lt;Inputs!$B$6)*AO$2:AU$2*(AO28:AU28+1))*100+MOD(6-5,7)</f>
        <v>1801</v>
      </c>
      <c r="AO29" s="19" t="n">
        <f aca="false">AO28+IF($B29=1,IF(MOD(0-$D29,7)&lt;Inputs!$B$6,1,0),0)</f>
        <v>3</v>
      </c>
      <c r="AP29" s="19" t="n">
        <f aca="false">AP28+IF($B29=1,IF(MOD(1-$D29,7)&lt;Inputs!$B$6,1,0),0)</f>
        <v>3</v>
      </c>
      <c r="AQ29" s="19" t="n">
        <f aca="false">AQ28+IF($B29=1,IF(MOD(2-$D29,7)&lt;Inputs!$B$6,1,0),0)</f>
        <v>2</v>
      </c>
      <c r="AR29" s="19" t="n">
        <f aca="false">AR28+IF($B29=1,IF(MOD(3-$D29,7)&lt;Inputs!$B$6,1,0),0)</f>
        <v>3</v>
      </c>
      <c r="AS29" s="19" t="n">
        <f aca="false">AS28+IF($B29=1,IF(MOD(4-$D29,7)&lt;Inputs!$B$6,1,0),0)</f>
        <v>2</v>
      </c>
      <c r="AT29" s="19" t="n">
        <f aca="false">AT28+IF($B29=1,IF(MOD(5-$D29,7)&lt;Inputs!$B$6,1,0),0)</f>
        <v>3</v>
      </c>
      <c r="AU29" s="19" t="n">
        <f aca="false">AU28+IF($B29=1,IF(MOD(6-$D29,7)&lt;Inputs!$B$6,1,0),0)</f>
        <v>4</v>
      </c>
    </row>
    <row r="30" customFormat="false" ht="15" hidden="false" customHeight="false" outlineLevel="0" collapsed="false">
      <c r="A30" s="0" t="n">
        <v>25</v>
      </c>
      <c r="B30" s="0" t="n">
        <f aca="false">IF(A30&lt;=Inputs!$B$3,1,0)</f>
        <v>0</v>
      </c>
      <c r="C30" s="0" t="n">
        <f aca="false">MOD(5+MOD(A30-1,7),7)</f>
        <v>1</v>
      </c>
      <c r="D30" s="0" t="n">
        <f aca="false">IF(Inputs!C47&lt;&gt;"",MATCH(Inputs!C47,Inputs!$A$11:$A$17,0)-1,IF(B30=0,0,MATCH(MIN(AH30:AN30),AH30:AN30,0)-1))</f>
        <v>0</v>
      </c>
      <c r="F30" s="0" t="n">
        <f aca="false">IF(OR($B30=0,F$3=0),0,IF(MOD(0-$D30,7)&lt;Inputs!$B$6,0,1))</f>
        <v>0</v>
      </c>
      <c r="G30" s="0" t="n">
        <f aca="false">IF(OR($B30=0,G$3=0),0,IF(MOD(1-$D30,7)&lt;Inputs!$B$6,0,1))</f>
        <v>0</v>
      </c>
      <c r="H30" s="0" t="n">
        <f aca="false">IF(OR($B30=0,H$3=0),0,IF(MOD(2-$D30,7)&lt;Inputs!$B$6,0,1))</f>
        <v>0</v>
      </c>
      <c r="I30" s="0" t="n">
        <f aca="false">IF(OR($B30=0,I$3=0),0,IF(MOD(3-$D30,7)&lt;Inputs!$B$6,0,1))</f>
        <v>0</v>
      </c>
      <c r="J30" s="0" t="n">
        <f aca="false">IF(OR($B30=0,J$3=0),0,IF(MOD(4-$D30,7)&lt;Inputs!$B$6,0,1))</f>
        <v>0</v>
      </c>
      <c r="K30" s="0" t="n">
        <f aca="false">IF(OR($B30=0,K$3=0),0,IF(MOD(5-$D30,7)&lt;Inputs!$B$6,0,1))</f>
        <v>0</v>
      </c>
      <c r="L30" s="0" t="n">
        <f aca="false">IF(OR($B30=0,L$3=0),0,IF(MOD(6-$D30,7)&lt;Inputs!$B$6,0,1))</f>
        <v>0</v>
      </c>
      <c r="M30" s="0" t="n">
        <f aca="false">SUM(F$6:F30)</f>
        <v>7</v>
      </c>
      <c r="N30" s="0" t="n">
        <f aca="false">SUM(G$6:G30)</f>
        <v>7</v>
      </c>
      <c r="O30" s="0" t="n">
        <f aca="false">SUM(H$6:H30)</f>
        <v>8</v>
      </c>
      <c r="P30" s="0" t="n">
        <f aca="false">SUM(I$6:I30)</f>
        <v>7</v>
      </c>
      <c r="Q30" s="0" t="n">
        <f aca="false">SUM(J$6:J30)</f>
        <v>8</v>
      </c>
      <c r="R30" s="0" t="n">
        <f aca="false">SUM(K$6:K30)</f>
        <v>7</v>
      </c>
      <c r="S30" s="0" t="n">
        <f aca="false">SUM(L$6:L30)</f>
        <v>6</v>
      </c>
      <c r="T30" s="18" t="n">
        <f aca="false">IF(F30=0,0,IF(Inputs!$D47="Open",F$1,IF(Inputs!$D47="Close",ROUND(F$2*1440-F$3*60,0)/1440,IF(OR(INT((M30-1)/Inputs!$B$7)=0,(INT((M$3-1-MOD(M30-1,Inputs!$B$7))/Inputs!$B$7)+1)&lt;=1),F$1,IF(INT((M30-1)/Inputs!$B$7)&gt;=(INT((M$3-1-MOD(M30-1,Inputs!$B$7))/Inputs!$B$7)+1)-1,ROUND(F$2*1440-F$3*60,0)/1440,MAX(F$1,MIN(ROUND(F$2*1440-F$3*60,0)/1440,ROUND((F$1+INT((M30-1)/Inputs!$B$7)/((INT((M$3-1-MOD(M30-1,Inputs!$B$7))/Inputs!$B$7)+1)-1)*((ROUND(F$2*1440-F$3*60,0)/1440)-F$1))*96,0)/96)))))))</f>
        <v>0</v>
      </c>
      <c r="U30" s="18" t="n">
        <f aca="false">IF(G30=0,0,IF(Inputs!$D47="Open",G$1,IF(Inputs!$D47="Close",ROUND(G$2*1440-G$3*60,0)/1440,IF(OR(INT((N30-1)/Inputs!$B$7)=0,(INT((N$3-1-MOD(N30-1,Inputs!$B$7))/Inputs!$B$7)+1)&lt;=1),G$1,IF(INT((N30-1)/Inputs!$B$7)&gt;=(INT((N$3-1-MOD(N30-1,Inputs!$B$7))/Inputs!$B$7)+1)-1,ROUND(G$2*1440-G$3*60,0)/1440,MAX(G$1,MIN(ROUND(G$2*1440-G$3*60,0)/1440,ROUND((G$1+INT((N30-1)/Inputs!$B$7)/((INT((N$3-1-MOD(N30-1,Inputs!$B$7))/Inputs!$B$7)+1)-1)*((ROUND(G$2*1440-G$3*60,0)/1440)-G$1))*96,0)/96)))))))</f>
        <v>0</v>
      </c>
      <c r="V30" s="18" t="n">
        <f aca="false">IF(H30=0,0,IF(Inputs!$D47="Open",H$1,IF(Inputs!$D47="Close",ROUND(H$2*1440-H$3*60,0)/1440,IF(OR(INT((O30-1)/Inputs!$B$7)=0,(INT((O$3-1-MOD(O30-1,Inputs!$B$7))/Inputs!$B$7)+1)&lt;=1),H$1,IF(INT((O30-1)/Inputs!$B$7)&gt;=(INT((O$3-1-MOD(O30-1,Inputs!$B$7))/Inputs!$B$7)+1)-1,ROUND(H$2*1440-H$3*60,0)/1440,MAX(H$1,MIN(ROUND(H$2*1440-H$3*60,0)/1440,ROUND((H$1+INT((O30-1)/Inputs!$B$7)/((INT((O$3-1-MOD(O30-1,Inputs!$B$7))/Inputs!$B$7)+1)-1)*((ROUND(H$2*1440-H$3*60,0)/1440)-H$1))*96,0)/96)))))))</f>
        <v>0</v>
      </c>
      <c r="W30" s="18" t="n">
        <f aca="false">IF(I30=0,0,IF(Inputs!$D47="Open",I$1,IF(Inputs!$D47="Close",ROUND(I$2*1440-I$3*60,0)/1440,IF(OR(INT((P30-1)/Inputs!$B$7)=0,(INT((P$3-1-MOD(P30-1,Inputs!$B$7))/Inputs!$B$7)+1)&lt;=1),I$1,IF(INT((P30-1)/Inputs!$B$7)&gt;=(INT((P$3-1-MOD(P30-1,Inputs!$B$7))/Inputs!$B$7)+1)-1,ROUND(I$2*1440-I$3*60,0)/1440,MAX(I$1,MIN(ROUND(I$2*1440-I$3*60,0)/1440,ROUND((I$1+INT((P30-1)/Inputs!$B$7)/((INT((P$3-1-MOD(P30-1,Inputs!$B$7))/Inputs!$B$7)+1)-1)*((ROUND(I$2*1440-I$3*60,0)/1440)-I$1))*96,0)/96)))))))</f>
        <v>0</v>
      </c>
      <c r="X30" s="18" t="n">
        <f aca="false">IF(J30=0,0,IF(Inputs!$D47="Open",J$1,IF(Inputs!$D47="Close",ROUND(J$2*1440-J$3*60,0)/1440,IF(OR(INT((Q30-1)/Inputs!$B$7)=0,(INT((Q$3-1-MOD(Q30-1,Inputs!$B$7))/Inputs!$B$7)+1)&lt;=1),J$1,IF(INT((Q30-1)/Inputs!$B$7)&gt;=(INT((Q$3-1-MOD(Q30-1,Inputs!$B$7))/Inputs!$B$7)+1)-1,ROUND(J$2*1440-J$3*60,0)/1440,MAX(J$1,MIN(ROUND(J$2*1440-J$3*60,0)/1440,ROUND((J$1+INT((Q30-1)/Inputs!$B$7)/((INT((Q$3-1-MOD(Q30-1,Inputs!$B$7))/Inputs!$B$7)+1)-1)*((ROUND(J$2*1440-J$3*60,0)/1440)-J$1))*96,0)/96)))))))</f>
        <v>0</v>
      </c>
      <c r="Y30" s="18" t="n">
        <f aca="false">IF(K30=0,0,IF(Inputs!$D47="Open",K$1,IF(Inputs!$D47="Close",ROUND(K$2*1440-K$3*60,0)/1440,IF(OR(INT((R30-1)/Inputs!$B$7)=0,(INT((R$3-1-MOD(R30-1,Inputs!$B$7))/Inputs!$B$7)+1)&lt;=1),K$1,IF(INT((R30-1)/Inputs!$B$7)&gt;=(INT((R$3-1-MOD(R30-1,Inputs!$B$7))/Inputs!$B$7)+1)-1,ROUND(K$2*1440-K$3*60,0)/1440,MAX(K$1,MIN(ROUND(K$2*1440-K$3*60,0)/1440,ROUND((K$1+INT((R30-1)/Inputs!$B$7)/((INT((R$3-1-MOD(R30-1,Inputs!$B$7))/Inputs!$B$7)+1)-1)*((ROUND(K$2*1440-K$3*60,0)/1440)-K$1))*96,0)/96)))))))</f>
        <v>0</v>
      </c>
      <c r="Z30" s="18" t="n">
        <f aca="false">IF(L30=0,0,IF(Inputs!$D47="Open",L$1,IF(Inputs!$D47="Close",ROUND(L$2*1440-L$3*60,0)/1440,IF(OR(INT((S30-1)/Inputs!$B$7)=0,(INT((S$3-1-MOD(S30-1,Inputs!$B$7))/Inputs!$B$7)+1)&lt;=1),L$1,IF(INT((S30-1)/Inputs!$B$7)&gt;=(INT((S$3-1-MOD(S30-1,Inputs!$B$7))/Inputs!$B$7)+1)-1,ROUND(L$2*1440-L$3*60,0)/1440,MAX(L$1,MIN(ROUND(L$2*1440-L$3*60,0)/1440,ROUND((L$1+INT((S30-1)/Inputs!$B$7)/((INT((S$3-1-MOD(S30-1,Inputs!$B$7))/Inputs!$B$7)+1)-1)*((ROUND(L$2*1440-L$3*60,0)/1440)-L$1))*96,0)/96)))))))</f>
        <v>0</v>
      </c>
      <c r="AA30" s="18" t="n">
        <f aca="false">IF(F30=0,0,ROUND(T30*1440+F$3*60,0)/1440)</f>
        <v>0</v>
      </c>
      <c r="AB30" s="18" t="n">
        <f aca="false">IF(G30=0,0,ROUND(U30*1440+G$3*60,0)/1440)</f>
        <v>0</v>
      </c>
      <c r="AC30" s="18" t="n">
        <f aca="false">IF(H30=0,0,ROUND(V30*1440+H$3*60,0)/1440)</f>
        <v>0</v>
      </c>
      <c r="AD30" s="18" t="n">
        <f aca="false">IF(I30=0,0,ROUND(W30*1440+I$3*60,0)/1440)</f>
        <v>0</v>
      </c>
      <c r="AE30" s="18" t="n">
        <f aca="false">IF(J30=0,0,ROUND(X30*1440+J$3*60,0)/1440)</f>
        <v>0</v>
      </c>
      <c r="AF30" s="18" t="n">
        <f aca="false">IF(K30=0,0,ROUND(Y30*1440+K$3*60,0)/1440)</f>
        <v>0</v>
      </c>
      <c r="AG30" s="18" t="n">
        <f aca="false">IF(L30=0,0,ROUND(Z30*1440+L$3*60,0)/1440)</f>
        <v>0</v>
      </c>
      <c r="AH30" s="19" t="n">
        <f aca="false">SUMPRODUCT((MOD(AO$1:AU$1-0,7)&lt;Inputs!$B$6)*AO$2:AU$2*(AO29:AU29+1))*100+MOD(0-5,7)</f>
        <v>1602</v>
      </c>
      <c r="AI30" s="19" t="n">
        <f aca="false">SUMPRODUCT((MOD(AO$1:AU$1-1,7)&lt;Inputs!$B$6)*AO$2:AU$2*(AO29:AU29+1))*100+MOD(1-5,7)</f>
        <v>1403</v>
      </c>
      <c r="AJ30" s="19" t="n">
        <f aca="false">SUMPRODUCT((MOD(AO$1:AU$1-2,7)&lt;Inputs!$B$6)*AO$2:AU$2*(AO29:AU29+1))*100+MOD(2-5,7)</f>
        <v>1404</v>
      </c>
      <c r="AK30" s="19" t="n">
        <f aca="false">SUMPRODUCT((MOD(AO$1:AU$1-3,7)&lt;Inputs!$B$6)*AO$2:AU$2*(AO29:AU29+1))*100+MOD(3-5,7)</f>
        <v>1405</v>
      </c>
      <c r="AL30" s="19" t="n">
        <f aca="false">SUMPRODUCT((MOD(AO$1:AU$1-4,7)&lt;Inputs!$B$6)*AO$2:AU$2*(AO29:AU29+1))*100+MOD(4-5,7)</f>
        <v>1406</v>
      </c>
      <c r="AM30" s="19" t="n">
        <f aca="false">SUMPRODUCT((MOD(AO$1:AU$1-5,7)&lt;Inputs!$B$6)*AO$2:AU$2*(AO29:AU29+1))*100+MOD(5-5,7)</f>
        <v>1800</v>
      </c>
      <c r="AN30" s="19" t="n">
        <f aca="false">SUMPRODUCT((MOD(AO$1:AU$1-6,7)&lt;Inputs!$B$6)*AO$2:AU$2*(AO29:AU29+1))*100+MOD(6-5,7)</f>
        <v>1801</v>
      </c>
      <c r="AO30" s="19" t="n">
        <f aca="false">AO29+IF($B30=1,IF(MOD(0-$D30,7)&lt;Inputs!$B$6,1,0),0)</f>
        <v>3</v>
      </c>
      <c r="AP30" s="19" t="n">
        <f aca="false">AP29+IF($B30=1,IF(MOD(1-$D30,7)&lt;Inputs!$B$6,1,0),0)</f>
        <v>3</v>
      </c>
      <c r="AQ30" s="19" t="n">
        <f aca="false">AQ29+IF($B30=1,IF(MOD(2-$D30,7)&lt;Inputs!$B$6,1,0),0)</f>
        <v>2</v>
      </c>
      <c r="AR30" s="19" t="n">
        <f aca="false">AR29+IF($B30=1,IF(MOD(3-$D30,7)&lt;Inputs!$B$6,1,0),0)</f>
        <v>3</v>
      </c>
      <c r="AS30" s="19" t="n">
        <f aca="false">AS29+IF($B30=1,IF(MOD(4-$D30,7)&lt;Inputs!$B$6,1,0),0)</f>
        <v>2</v>
      </c>
      <c r="AT30" s="19" t="n">
        <f aca="false">AT29+IF($B30=1,IF(MOD(5-$D30,7)&lt;Inputs!$B$6,1,0),0)</f>
        <v>3</v>
      </c>
      <c r="AU30" s="19" t="n">
        <f aca="false">AU29+IF($B30=1,IF(MOD(6-$D30,7)&lt;Inputs!$B$6,1,0),0)</f>
        <v>4</v>
      </c>
    </row>
    <row r="31" customFormat="false" ht="15" hidden="false" customHeight="false" outlineLevel="0" collapsed="false">
      <c r="A31" s="0" t="n">
        <v>26</v>
      </c>
      <c r="B31" s="0" t="n">
        <f aca="false">IF(A31&lt;=Inputs!$B$3,1,0)</f>
        <v>0</v>
      </c>
      <c r="C31" s="0" t="n">
        <f aca="false">MOD(5+MOD(A31-1,7),7)</f>
        <v>2</v>
      </c>
      <c r="D31" s="0" t="n">
        <f aca="false">IF(Inputs!C48&lt;&gt;"",MATCH(Inputs!C48,Inputs!$A$11:$A$17,0)-1,IF(B31=0,0,MATCH(MIN(AH31:AN31),AH31:AN31,0)-1))</f>
        <v>0</v>
      </c>
      <c r="F31" s="0" t="n">
        <f aca="false">IF(OR($B31=0,F$3=0),0,IF(MOD(0-$D31,7)&lt;Inputs!$B$6,0,1))</f>
        <v>0</v>
      </c>
      <c r="G31" s="0" t="n">
        <f aca="false">IF(OR($B31=0,G$3=0),0,IF(MOD(1-$D31,7)&lt;Inputs!$B$6,0,1))</f>
        <v>0</v>
      </c>
      <c r="H31" s="0" t="n">
        <f aca="false">IF(OR($B31=0,H$3=0),0,IF(MOD(2-$D31,7)&lt;Inputs!$B$6,0,1))</f>
        <v>0</v>
      </c>
      <c r="I31" s="0" t="n">
        <f aca="false">IF(OR($B31=0,I$3=0),0,IF(MOD(3-$D31,7)&lt;Inputs!$B$6,0,1))</f>
        <v>0</v>
      </c>
      <c r="J31" s="0" t="n">
        <f aca="false">IF(OR($B31=0,J$3=0),0,IF(MOD(4-$D31,7)&lt;Inputs!$B$6,0,1))</f>
        <v>0</v>
      </c>
      <c r="K31" s="0" t="n">
        <f aca="false">IF(OR($B31=0,K$3=0),0,IF(MOD(5-$D31,7)&lt;Inputs!$B$6,0,1))</f>
        <v>0</v>
      </c>
      <c r="L31" s="0" t="n">
        <f aca="false">IF(OR($B31=0,L$3=0),0,IF(MOD(6-$D31,7)&lt;Inputs!$B$6,0,1))</f>
        <v>0</v>
      </c>
      <c r="M31" s="0" t="n">
        <f aca="false">SUM(F$6:F31)</f>
        <v>7</v>
      </c>
      <c r="N31" s="0" t="n">
        <f aca="false">SUM(G$6:G31)</f>
        <v>7</v>
      </c>
      <c r="O31" s="0" t="n">
        <f aca="false">SUM(H$6:H31)</f>
        <v>8</v>
      </c>
      <c r="P31" s="0" t="n">
        <f aca="false">SUM(I$6:I31)</f>
        <v>7</v>
      </c>
      <c r="Q31" s="0" t="n">
        <f aca="false">SUM(J$6:J31)</f>
        <v>8</v>
      </c>
      <c r="R31" s="0" t="n">
        <f aca="false">SUM(K$6:K31)</f>
        <v>7</v>
      </c>
      <c r="S31" s="0" t="n">
        <f aca="false">SUM(L$6:L31)</f>
        <v>6</v>
      </c>
      <c r="T31" s="18" t="n">
        <f aca="false">IF(F31=0,0,IF(Inputs!$D48="Open",F$1,IF(Inputs!$D48="Close",ROUND(F$2*1440-F$3*60,0)/1440,IF(OR(INT((M31-1)/Inputs!$B$7)=0,(INT((M$3-1-MOD(M31-1,Inputs!$B$7))/Inputs!$B$7)+1)&lt;=1),F$1,IF(INT((M31-1)/Inputs!$B$7)&gt;=(INT((M$3-1-MOD(M31-1,Inputs!$B$7))/Inputs!$B$7)+1)-1,ROUND(F$2*1440-F$3*60,0)/1440,MAX(F$1,MIN(ROUND(F$2*1440-F$3*60,0)/1440,ROUND((F$1+INT((M31-1)/Inputs!$B$7)/((INT((M$3-1-MOD(M31-1,Inputs!$B$7))/Inputs!$B$7)+1)-1)*((ROUND(F$2*1440-F$3*60,0)/1440)-F$1))*96,0)/96)))))))</f>
        <v>0</v>
      </c>
      <c r="U31" s="18" t="n">
        <f aca="false">IF(G31=0,0,IF(Inputs!$D48="Open",G$1,IF(Inputs!$D48="Close",ROUND(G$2*1440-G$3*60,0)/1440,IF(OR(INT((N31-1)/Inputs!$B$7)=0,(INT((N$3-1-MOD(N31-1,Inputs!$B$7))/Inputs!$B$7)+1)&lt;=1),G$1,IF(INT((N31-1)/Inputs!$B$7)&gt;=(INT((N$3-1-MOD(N31-1,Inputs!$B$7))/Inputs!$B$7)+1)-1,ROUND(G$2*1440-G$3*60,0)/1440,MAX(G$1,MIN(ROUND(G$2*1440-G$3*60,0)/1440,ROUND((G$1+INT((N31-1)/Inputs!$B$7)/((INT((N$3-1-MOD(N31-1,Inputs!$B$7))/Inputs!$B$7)+1)-1)*((ROUND(G$2*1440-G$3*60,0)/1440)-G$1))*96,0)/96)))))))</f>
        <v>0</v>
      </c>
      <c r="V31" s="18" t="n">
        <f aca="false">IF(H31=0,0,IF(Inputs!$D48="Open",H$1,IF(Inputs!$D48="Close",ROUND(H$2*1440-H$3*60,0)/1440,IF(OR(INT((O31-1)/Inputs!$B$7)=0,(INT((O$3-1-MOD(O31-1,Inputs!$B$7))/Inputs!$B$7)+1)&lt;=1),H$1,IF(INT((O31-1)/Inputs!$B$7)&gt;=(INT((O$3-1-MOD(O31-1,Inputs!$B$7))/Inputs!$B$7)+1)-1,ROUND(H$2*1440-H$3*60,0)/1440,MAX(H$1,MIN(ROUND(H$2*1440-H$3*60,0)/1440,ROUND((H$1+INT((O31-1)/Inputs!$B$7)/((INT((O$3-1-MOD(O31-1,Inputs!$B$7))/Inputs!$B$7)+1)-1)*((ROUND(H$2*1440-H$3*60,0)/1440)-H$1))*96,0)/96)))))))</f>
        <v>0</v>
      </c>
      <c r="W31" s="18" t="n">
        <f aca="false">IF(I31=0,0,IF(Inputs!$D48="Open",I$1,IF(Inputs!$D48="Close",ROUND(I$2*1440-I$3*60,0)/1440,IF(OR(INT((P31-1)/Inputs!$B$7)=0,(INT((P$3-1-MOD(P31-1,Inputs!$B$7))/Inputs!$B$7)+1)&lt;=1),I$1,IF(INT((P31-1)/Inputs!$B$7)&gt;=(INT((P$3-1-MOD(P31-1,Inputs!$B$7))/Inputs!$B$7)+1)-1,ROUND(I$2*1440-I$3*60,0)/1440,MAX(I$1,MIN(ROUND(I$2*1440-I$3*60,0)/1440,ROUND((I$1+INT((P31-1)/Inputs!$B$7)/((INT((P$3-1-MOD(P31-1,Inputs!$B$7))/Inputs!$B$7)+1)-1)*((ROUND(I$2*1440-I$3*60,0)/1440)-I$1))*96,0)/96)))))))</f>
        <v>0</v>
      </c>
      <c r="X31" s="18" t="n">
        <f aca="false">IF(J31=0,0,IF(Inputs!$D48="Open",J$1,IF(Inputs!$D48="Close",ROUND(J$2*1440-J$3*60,0)/1440,IF(OR(INT((Q31-1)/Inputs!$B$7)=0,(INT((Q$3-1-MOD(Q31-1,Inputs!$B$7))/Inputs!$B$7)+1)&lt;=1),J$1,IF(INT((Q31-1)/Inputs!$B$7)&gt;=(INT((Q$3-1-MOD(Q31-1,Inputs!$B$7))/Inputs!$B$7)+1)-1,ROUND(J$2*1440-J$3*60,0)/1440,MAX(J$1,MIN(ROUND(J$2*1440-J$3*60,0)/1440,ROUND((J$1+INT((Q31-1)/Inputs!$B$7)/((INT((Q$3-1-MOD(Q31-1,Inputs!$B$7))/Inputs!$B$7)+1)-1)*((ROUND(J$2*1440-J$3*60,0)/1440)-J$1))*96,0)/96)))))))</f>
        <v>0</v>
      </c>
      <c r="Y31" s="18" t="n">
        <f aca="false">IF(K31=0,0,IF(Inputs!$D48="Open",K$1,IF(Inputs!$D48="Close",ROUND(K$2*1440-K$3*60,0)/1440,IF(OR(INT((R31-1)/Inputs!$B$7)=0,(INT((R$3-1-MOD(R31-1,Inputs!$B$7))/Inputs!$B$7)+1)&lt;=1),K$1,IF(INT((R31-1)/Inputs!$B$7)&gt;=(INT((R$3-1-MOD(R31-1,Inputs!$B$7))/Inputs!$B$7)+1)-1,ROUND(K$2*1440-K$3*60,0)/1440,MAX(K$1,MIN(ROUND(K$2*1440-K$3*60,0)/1440,ROUND((K$1+INT((R31-1)/Inputs!$B$7)/((INT((R$3-1-MOD(R31-1,Inputs!$B$7))/Inputs!$B$7)+1)-1)*((ROUND(K$2*1440-K$3*60,0)/1440)-K$1))*96,0)/96)))))))</f>
        <v>0</v>
      </c>
      <c r="Z31" s="18" t="n">
        <f aca="false">IF(L31=0,0,IF(Inputs!$D48="Open",L$1,IF(Inputs!$D48="Close",ROUND(L$2*1440-L$3*60,0)/1440,IF(OR(INT((S31-1)/Inputs!$B$7)=0,(INT((S$3-1-MOD(S31-1,Inputs!$B$7))/Inputs!$B$7)+1)&lt;=1),L$1,IF(INT((S31-1)/Inputs!$B$7)&gt;=(INT((S$3-1-MOD(S31-1,Inputs!$B$7))/Inputs!$B$7)+1)-1,ROUND(L$2*1440-L$3*60,0)/1440,MAX(L$1,MIN(ROUND(L$2*1440-L$3*60,0)/1440,ROUND((L$1+INT((S31-1)/Inputs!$B$7)/((INT((S$3-1-MOD(S31-1,Inputs!$B$7))/Inputs!$B$7)+1)-1)*((ROUND(L$2*1440-L$3*60,0)/1440)-L$1))*96,0)/96)))))))</f>
        <v>0</v>
      </c>
      <c r="AA31" s="18" t="n">
        <f aca="false">IF(F31=0,0,ROUND(T31*1440+F$3*60,0)/1440)</f>
        <v>0</v>
      </c>
      <c r="AB31" s="18" t="n">
        <f aca="false">IF(G31=0,0,ROUND(U31*1440+G$3*60,0)/1440)</f>
        <v>0</v>
      </c>
      <c r="AC31" s="18" t="n">
        <f aca="false">IF(H31=0,0,ROUND(V31*1440+H$3*60,0)/1440)</f>
        <v>0</v>
      </c>
      <c r="AD31" s="18" t="n">
        <f aca="false">IF(I31=0,0,ROUND(W31*1440+I$3*60,0)/1440)</f>
        <v>0</v>
      </c>
      <c r="AE31" s="18" t="n">
        <f aca="false">IF(J31=0,0,ROUND(X31*1440+J$3*60,0)/1440)</f>
        <v>0</v>
      </c>
      <c r="AF31" s="18" t="n">
        <f aca="false">IF(K31=0,0,ROUND(Y31*1440+K$3*60,0)/1440)</f>
        <v>0</v>
      </c>
      <c r="AG31" s="18" t="n">
        <f aca="false">IF(L31=0,0,ROUND(Z31*1440+L$3*60,0)/1440)</f>
        <v>0</v>
      </c>
      <c r="AH31" s="19" t="n">
        <f aca="false">SUMPRODUCT((MOD(AO$1:AU$1-0,7)&lt;Inputs!$B$6)*AO$2:AU$2*(AO30:AU30+1))*100+MOD(0-5,7)</f>
        <v>1602</v>
      </c>
      <c r="AI31" s="19" t="n">
        <f aca="false">SUMPRODUCT((MOD(AO$1:AU$1-1,7)&lt;Inputs!$B$6)*AO$2:AU$2*(AO30:AU30+1))*100+MOD(1-5,7)</f>
        <v>1403</v>
      </c>
      <c r="AJ31" s="19" t="n">
        <f aca="false">SUMPRODUCT((MOD(AO$1:AU$1-2,7)&lt;Inputs!$B$6)*AO$2:AU$2*(AO30:AU30+1))*100+MOD(2-5,7)</f>
        <v>1404</v>
      </c>
      <c r="AK31" s="19" t="n">
        <f aca="false">SUMPRODUCT((MOD(AO$1:AU$1-3,7)&lt;Inputs!$B$6)*AO$2:AU$2*(AO30:AU30+1))*100+MOD(3-5,7)</f>
        <v>1405</v>
      </c>
      <c r="AL31" s="19" t="n">
        <f aca="false">SUMPRODUCT((MOD(AO$1:AU$1-4,7)&lt;Inputs!$B$6)*AO$2:AU$2*(AO30:AU30+1))*100+MOD(4-5,7)</f>
        <v>1406</v>
      </c>
      <c r="AM31" s="19" t="n">
        <f aca="false">SUMPRODUCT((MOD(AO$1:AU$1-5,7)&lt;Inputs!$B$6)*AO$2:AU$2*(AO30:AU30+1))*100+MOD(5-5,7)</f>
        <v>1800</v>
      </c>
      <c r="AN31" s="19" t="n">
        <f aca="false">SUMPRODUCT((MOD(AO$1:AU$1-6,7)&lt;Inputs!$B$6)*AO$2:AU$2*(AO30:AU30+1))*100+MOD(6-5,7)</f>
        <v>1801</v>
      </c>
      <c r="AO31" s="19" t="n">
        <f aca="false">AO30+IF($B31=1,IF(MOD(0-$D31,7)&lt;Inputs!$B$6,1,0),0)</f>
        <v>3</v>
      </c>
      <c r="AP31" s="19" t="n">
        <f aca="false">AP30+IF($B31=1,IF(MOD(1-$D31,7)&lt;Inputs!$B$6,1,0),0)</f>
        <v>3</v>
      </c>
      <c r="AQ31" s="19" t="n">
        <f aca="false">AQ30+IF($B31=1,IF(MOD(2-$D31,7)&lt;Inputs!$B$6,1,0),0)</f>
        <v>2</v>
      </c>
      <c r="AR31" s="19" t="n">
        <f aca="false">AR30+IF($B31=1,IF(MOD(3-$D31,7)&lt;Inputs!$B$6,1,0),0)</f>
        <v>3</v>
      </c>
      <c r="AS31" s="19" t="n">
        <f aca="false">AS30+IF($B31=1,IF(MOD(4-$D31,7)&lt;Inputs!$B$6,1,0),0)</f>
        <v>2</v>
      </c>
      <c r="AT31" s="19" t="n">
        <f aca="false">AT30+IF($B31=1,IF(MOD(5-$D31,7)&lt;Inputs!$B$6,1,0),0)</f>
        <v>3</v>
      </c>
      <c r="AU31" s="19" t="n">
        <f aca="false">AU30+IF($B31=1,IF(MOD(6-$D31,7)&lt;Inputs!$B$6,1,0),0)</f>
        <v>4</v>
      </c>
    </row>
    <row r="32" customFormat="false" ht="15" hidden="false" customHeight="false" outlineLevel="0" collapsed="false">
      <c r="A32" s="0" t="n">
        <v>27</v>
      </c>
      <c r="B32" s="0" t="n">
        <f aca="false">IF(A32&lt;=Inputs!$B$3,1,0)</f>
        <v>0</v>
      </c>
      <c r="C32" s="0" t="n">
        <f aca="false">MOD(5+MOD(A32-1,7),7)</f>
        <v>3</v>
      </c>
      <c r="D32" s="0" t="n">
        <f aca="false">IF(Inputs!C49&lt;&gt;"",MATCH(Inputs!C49,Inputs!$A$11:$A$17,0)-1,IF(B32=0,0,MATCH(MIN(AH32:AN32),AH32:AN32,0)-1))</f>
        <v>0</v>
      </c>
      <c r="F32" s="0" t="n">
        <f aca="false">IF(OR($B32=0,F$3=0),0,IF(MOD(0-$D32,7)&lt;Inputs!$B$6,0,1))</f>
        <v>0</v>
      </c>
      <c r="G32" s="0" t="n">
        <f aca="false">IF(OR($B32=0,G$3=0),0,IF(MOD(1-$D32,7)&lt;Inputs!$B$6,0,1))</f>
        <v>0</v>
      </c>
      <c r="H32" s="0" t="n">
        <f aca="false">IF(OR($B32=0,H$3=0),0,IF(MOD(2-$D32,7)&lt;Inputs!$B$6,0,1))</f>
        <v>0</v>
      </c>
      <c r="I32" s="0" t="n">
        <f aca="false">IF(OR($B32=0,I$3=0),0,IF(MOD(3-$D32,7)&lt;Inputs!$B$6,0,1))</f>
        <v>0</v>
      </c>
      <c r="J32" s="0" t="n">
        <f aca="false">IF(OR($B32=0,J$3=0),0,IF(MOD(4-$D32,7)&lt;Inputs!$B$6,0,1))</f>
        <v>0</v>
      </c>
      <c r="K32" s="0" t="n">
        <f aca="false">IF(OR($B32=0,K$3=0),0,IF(MOD(5-$D32,7)&lt;Inputs!$B$6,0,1))</f>
        <v>0</v>
      </c>
      <c r="L32" s="0" t="n">
        <f aca="false">IF(OR($B32=0,L$3=0),0,IF(MOD(6-$D32,7)&lt;Inputs!$B$6,0,1))</f>
        <v>0</v>
      </c>
      <c r="M32" s="0" t="n">
        <f aca="false">SUM(F$6:F32)</f>
        <v>7</v>
      </c>
      <c r="N32" s="0" t="n">
        <f aca="false">SUM(G$6:G32)</f>
        <v>7</v>
      </c>
      <c r="O32" s="0" t="n">
        <f aca="false">SUM(H$6:H32)</f>
        <v>8</v>
      </c>
      <c r="P32" s="0" t="n">
        <f aca="false">SUM(I$6:I32)</f>
        <v>7</v>
      </c>
      <c r="Q32" s="0" t="n">
        <f aca="false">SUM(J$6:J32)</f>
        <v>8</v>
      </c>
      <c r="R32" s="0" t="n">
        <f aca="false">SUM(K$6:K32)</f>
        <v>7</v>
      </c>
      <c r="S32" s="0" t="n">
        <f aca="false">SUM(L$6:L32)</f>
        <v>6</v>
      </c>
      <c r="T32" s="18" t="n">
        <f aca="false">IF(F32=0,0,IF(Inputs!$D49="Open",F$1,IF(Inputs!$D49="Close",ROUND(F$2*1440-F$3*60,0)/1440,IF(OR(INT((M32-1)/Inputs!$B$7)=0,(INT((M$3-1-MOD(M32-1,Inputs!$B$7))/Inputs!$B$7)+1)&lt;=1),F$1,IF(INT((M32-1)/Inputs!$B$7)&gt;=(INT((M$3-1-MOD(M32-1,Inputs!$B$7))/Inputs!$B$7)+1)-1,ROUND(F$2*1440-F$3*60,0)/1440,MAX(F$1,MIN(ROUND(F$2*1440-F$3*60,0)/1440,ROUND((F$1+INT((M32-1)/Inputs!$B$7)/((INT((M$3-1-MOD(M32-1,Inputs!$B$7))/Inputs!$B$7)+1)-1)*((ROUND(F$2*1440-F$3*60,0)/1440)-F$1))*96,0)/96)))))))</f>
        <v>0</v>
      </c>
      <c r="U32" s="18" t="n">
        <f aca="false">IF(G32=0,0,IF(Inputs!$D49="Open",G$1,IF(Inputs!$D49="Close",ROUND(G$2*1440-G$3*60,0)/1440,IF(OR(INT((N32-1)/Inputs!$B$7)=0,(INT((N$3-1-MOD(N32-1,Inputs!$B$7))/Inputs!$B$7)+1)&lt;=1),G$1,IF(INT((N32-1)/Inputs!$B$7)&gt;=(INT((N$3-1-MOD(N32-1,Inputs!$B$7))/Inputs!$B$7)+1)-1,ROUND(G$2*1440-G$3*60,0)/1440,MAX(G$1,MIN(ROUND(G$2*1440-G$3*60,0)/1440,ROUND((G$1+INT((N32-1)/Inputs!$B$7)/((INT((N$3-1-MOD(N32-1,Inputs!$B$7))/Inputs!$B$7)+1)-1)*((ROUND(G$2*1440-G$3*60,0)/1440)-G$1))*96,0)/96)))))))</f>
        <v>0</v>
      </c>
      <c r="V32" s="18" t="n">
        <f aca="false">IF(H32=0,0,IF(Inputs!$D49="Open",H$1,IF(Inputs!$D49="Close",ROUND(H$2*1440-H$3*60,0)/1440,IF(OR(INT((O32-1)/Inputs!$B$7)=0,(INT((O$3-1-MOD(O32-1,Inputs!$B$7))/Inputs!$B$7)+1)&lt;=1),H$1,IF(INT((O32-1)/Inputs!$B$7)&gt;=(INT((O$3-1-MOD(O32-1,Inputs!$B$7))/Inputs!$B$7)+1)-1,ROUND(H$2*1440-H$3*60,0)/1440,MAX(H$1,MIN(ROUND(H$2*1440-H$3*60,0)/1440,ROUND((H$1+INT((O32-1)/Inputs!$B$7)/((INT((O$3-1-MOD(O32-1,Inputs!$B$7))/Inputs!$B$7)+1)-1)*((ROUND(H$2*1440-H$3*60,0)/1440)-H$1))*96,0)/96)))))))</f>
        <v>0</v>
      </c>
      <c r="W32" s="18" t="n">
        <f aca="false">IF(I32=0,0,IF(Inputs!$D49="Open",I$1,IF(Inputs!$D49="Close",ROUND(I$2*1440-I$3*60,0)/1440,IF(OR(INT((P32-1)/Inputs!$B$7)=0,(INT((P$3-1-MOD(P32-1,Inputs!$B$7))/Inputs!$B$7)+1)&lt;=1),I$1,IF(INT((P32-1)/Inputs!$B$7)&gt;=(INT((P$3-1-MOD(P32-1,Inputs!$B$7))/Inputs!$B$7)+1)-1,ROUND(I$2*1440-I$3*60,0)/1440,MAX(I$1,MIN(ROUND(I$2*1440-I$3*60,0)/1440,ROUND((I$1+INT((P32-1)/Inputs!$B$7)/((INT((P$3-1-MOD(P32-1,Inputs!$B$7))/Inputs!$B$7)+1)-1)*((ROUND(I$2*1440-I$3*60,0)/1440)-I$1))*96,0)/96)))))))</f>
        <v>0</v>
      </c>
      <c r="X32" s="18" t="n">
        <f aca="false">IF(J32=0,0,IF(Inputs!$D49="Open",J$1,IF(Inputs!$D49="Close",ROUND(J$2*1440-J$3*60,0)/1440,IF(OR(INT((Q32-1)/Inputs!$B$7)=0,(INT((Q$3-1-MOD(Q32-1,Inputs!$B$7))/Inputs!$B$7)+1)&lt;=1),J$1,IF(INT((Q32-1)/Inputs!$B$7)&gt;=(INT((Q$3-1-MOD(Q32-1,Inputs!$B$7))/Inputs!$B$7)+1)-1,ROUND(J$2*1440-J$3*60,0)/1440,MAX(J$1,MIN(ROUND(J$2*1440-J$3*60,0)/1440,ROUND((J$1+INT((Q32-1)/Inputs!$B$7)/((INT((Q$3-1-MOD(Q32-1,Inputs!$B$7))/Inputs!$B$7)+1)-1)*((ROUND(J$2*1440-J$3*60,0)/1440)-J$1))*96,0)/96)))))))</f>
        <v>0</v>
      </c>
      <c r="Y32" s="18" t="n">
        <f aca="false">IF(K32=0,0,IF(Inputs!$D49="Open",K$1,IF(Inputs!$D49="Close",ROUND(K$2*1440-K$3*60,0)/1440,IF(OR(INT((R32-1)/Inputs!$B$7)=0,(INT((R$3-1-MOD(R32-1,Inputs!$B$7))/Inputs!$B$7)+1)&lt;=1),K$1,IF(INT((R32-1)/Inputs!$B$7)&gt;=(INT((R$3-1-MOD(R32-1,Inputs!$B$7))/Inputs!$B$7)+1)-1,ROUND(K$2*1440-K$3*60,0)/1440,MAX(K$1,MIN(ROUND(K$2*1440-K$3*60,0)/1440,ROUND((K$1+INT((R32-1)/Inputs!$B$7)/((INT((R$3-1-MOD(R32-1,Inputs!$B$7))/Inputs!$B$7)+1)-1)*((ROUND(K$2*1440-K$3*60,0)/1440)-K$1))*96,0)/96)))))))</f>
        <v>0</v>
      </c>
      <c r="Z32" s="18" t="n">
        <f aca="false">IF(L32=0,0,IF(Inputs!$D49="Open",L$1,IF(Inputs!$D49="Close",ROUND(L$2*1440-L$3*60,0)/1440,IF(OR(INT((S32-1)/Inputs!$B$7)=0,(INT((S$3-1-MOD(S32-1,Inputs!$B$7))/Inputs!$B$7)+1)&lt;=1),L$1,IF(INT((S32-1)/Inputs!$B$7)&gt;=(INT((S$3-1-MOD(S32-1,Inputs!$B$7))/Inputs!$B$7)+1)-1,ROUND(L$2*1440-L$3*60,0)/1440,MAX(L$1,MIN(ROUND(L$2*1440-L$3*60,0)/1440,ROUND((L$1+INT((S32-1)/Inputs!$B$7)/((INT((S$3-1-MOD(S32-1,Inputs!$B$7))/Inputs!$B$7)+1)-1)*((ROUND(L$2*1440-L$3*60,0)/1440)-L$1))*96,0)/96)))))))</f>
        <v>0</v>
      </c>
      <c r="AA32" s="18" t="n">
        <f aca="false">IF(F32=0,0,ROUND(T32*1440+F$3*60,0)/1440)</f>
        <v>0</v>
      </c>
      <c r="AB32" s="18" t="n">
        <f aca="false">IF(G32=0,0,ROUND(U32*1440+G$3*60,0)/1440)</f>
        <v>0</v>
      </c>
      <c r="AC32" s="18" t="n">
        <f aca="false">IF(H32=0,0,ROUND(V32*1440+H$3*60,0)/1440)</f>
        <v>0</v>
      </c>
      <c r="AD32" s="18" t="n">
        <f aca="false">IF(I32=0,0,ROUND(W32*1440+I$3*60,0)/1440)</f>
        <v>0</v>
      </c>
      <c r="AE32" s="18" t="n">
        <f aca="false">IF(J32=0,0,ROUND(X32*1440+J$3*60,0)/1440)</f>
        <v>0</v>
      </c>
      <c r="AF32" s="18" t="n">
        <f aca="false">IF(K32=0,0,ROUND(Y32*1440+K$3*60,0)/1440)</f>
        <v>0</v>
      </c>
      <c r="AG32" s="18" t="n">
        <f aca="false">IF(L32=0,0,ROUND(Z32*1440+L$3*60,0)/1440)</f>
        <v>0</v>
      </c>
      <c r="AH32" s="19" t="n">
        <f aca="false">SUMPRODUCT((MOD(AO$1:AU$1-0,7)&lt;Inputs!$B$6)*AO$2:AU$2*(AO31:AU31+1))*100+MOD(0-5,7)</f>
        <v>1602</v>
      </c>
      <c r="AI32" s="19" t="n">
        <f aca="false">SUMPRODUCT((MOD(AO$1:AU$1-1,7)&lt;Inputs!$B$6)*AO$2:AU$2*(AO31:AU31+1))*100+MOD(1-5,7)</f>
        <v>1403</v>
      </c>
      <c r="AJ32" s="19" t="n">
        <f aca="false">SUMPRODUCT((MOD(AO$1:AU$1-2,7)&lt;Inputs!$B$6)*AO$2:AU$2*(AO31:AU31+1))*100+MOD(2-5,7)</f>
        <v>1404</v>
      </c>
      <c r="AK32" s="19" t="n">
        <f aca="false">SUMPRODUCT((MOD(AO$1:AU$1-3,7)&lt;Inputs!$B$6)*AO$2:AU$2*(AO31:AU31+1))*100+MOD(3-5,7)</f>
        <v>1405</v>
      </c>
      <c r="AL32" s="19" t="n">
        <f aca="false">SUMPRODUCT((MOD(AO$1:AU$1-4,7)&lt;Inputs!$B$6)*AO$2:AU$2*(AO31:AU31+1))*100+MOD(4-5,7)</f>
        <v>1406</v>
      </c>
      <c r="AM32" s="19" t="n">
        <f aca="false">SUMPRODUCT((MOD(AO$1:AU$1-5,7)&lt;Inputs!$B$6)*AO$2:AU$2*(AO31:AU31+1))*100+MOD(5-5,7)</f>
        <v>1800</v>
      </c>
      <c r="AN32" s="19" t="n">
        <f aca="false">SUMPRODUCT((MOD(AO$1:AU$1-6,7)&lt;Inputs!$B$6)*AO$2:AU$2*(AO31:AU31+1))*100+MOD(6-5,7)</f>
        <v>1801</v>
      </c>
      <c r="AO32" s="19" t="n">
        <f aca="false">AO31+IF($B32=1,IF(MOD(0-$D32,7)&lt;Inputs!$B$6,1,0),0)</f>
        <v>3</v>
      </c>
      <c r="AP32" s="19" t="n">
        <f aca="false">AP31+IF($B32=1,IF(MOD(1-$D32,7)&lt;Inputs!$B$6,1,0),0)</f>
        <v>3</v>
      </c>
      <c r="AQ32" s="19" t="n">
        <f aca="false">AQ31+IF($B32=1,IF(MOD(2-$D32,7)&lt;Inputs!$B$6,1,0),0)</f>
        <v>2</v>
      </c>
      <c r="AR32" s="19" t="n">
        <f aca="false">AR31+IF($B32=1,IF(MOD(3-$D32,7)&lt;Inputs!$B$6,1,0),0)</f>
        <v>3</v>
      </c>
      <c r="AS32" s="19" t="n">
        <f aca="false">AS31+IF($B32=1,IF(MOD(4-$D32,7)&lt;Inputs!$B$6,1,0),0)</f>
        <v>2</v>
      </c>
      <c r="AT32" s="19" t="n">
        <f aca="false">AT31+IF($B32=1,IF(MOD(5-$D32,7)&lt;Inputs!$B$6,1,0),0)</f>
        <v>3</v>
      </c>
      <c r="AU32" s="19" t="n">
        <f aca="false">AU31+IF($B32=1,IF(MOD(6-$D32,7)&lt;Inputs!$B$6,1,0),0)</f>
        <v>4</v>
      </c>
    </row>
    <row r="33" customFormat="false" ht="15" hidden="false" customHeight="false" outlineLevel="0" collapsed="false">
      <c r="A33" s="0" t="n">
        <v>28</v>
      </c>
      <c r="B33" s="0" t="n">
        <f aca="false">IF(A33&lt;=Inputs!$B$3,1,0)</f>
        <v>0</v>
      </c>
      <c r="C33" s="0" t="n">
        <f aca="false">MOD(5+MOD(A33-1,7),7)</f>
        <v>4</v>
      </c>
      <c r="D33" s="0" t="n">
        <f aca="false">IF(Inputs!C50&lt;&gt;"",MATCH(Inputs!C50,Inputs!$A$11:$A$17,0)-1,IF(B33=0,0,MATCH(MIN(AH33:AN33),AH33:AN33,0)-1))</f>
        <v>0</v>
      </c>
      <c r="F33" s="0" t="n">
        <f aca="false">IF(OR($B33=0,F$3=0),0,IF(MOD(0-$D33,7)&lt;Inputs!$B$6,0,1))</f>
        <v>0</v>
      </c>
      <c r="G33" s="0" t="n">
        <f aca="false">IF(OR($B33=0,G$3=0),0,IF(MOD(1-$D33,7)&lt;Inputs!$B$6,0,1))</f>
        <v>0</v>
      </c>
      <c r="H33" s="0" t="n">
        <f aca="false">IF(OR($B33=0,H$3=0),0,IF(MOD(2-$D33,7)&lt;Inputs!$B$6,0,1))</f>
        <v>0</v>
      </c>
      <c r="I33" s="0" t="n">
        <f aca="false">IF(OR($B33=0,I$3=0),0,IF(MOD(3-$D33,7)&lt;Inputs!$B$6,0,1))</f>
        <v>0</v>
      </c>
      <c r="J33" s="0" t="n">
        <f aca="false">IF(OR($B33=0,J$3=0),0,IF(MOD(4-$D33,7)&lt;Inputs!$B$6,0,1))</f>
        <v>0</v>
      </c>
      <c r="K33" s="0" t="n">
        <f aca="false">IF(OR($B33=0,K$3=0),0,IF(MOD(5-$D33,7)&lt;Inputs!$B$6,0,1))</f>
        <v>0</v>
      </c>
      <c r="L33" s="0" t="n">
        <f aca="false">IF(OR($B33=0,L$3=0),0,IF(MOD(6-$D33,7)&lt;Inputs!$B$6,0,1))</f>
        <v>0</v>
      </c>
      <c r="M33" s="0" t="n">
        <f aca="false">SUM(F$6:F33)</f>
        <v>7</v>
      </c>
      <c r="N33" s="0" t="n">
        <f aca="false">SUM(G$6:G33)</f>
        <v>7</v>
      </c>
      <c r="O33" s="0" t="n">
        <f aca="false">SUM(H$6:H33)</f>
        <v>8</v>
      </c>
      <c r="P33" s="0" t="n">
        <f aca="false">SUM(I$6:I33)</f>
        <v>7</v>
      </c>
      <c r="Q33" s="0" t="n">
        <f aca="false">SUM(J$6:J33)</f>
        <v>8</v>
      </c>
      <c r="R33" s="0" t="n">
        <f aca="false">SUM(K$6:K33)</f>
        <v>7</v>
      </c>
      <c r="S33" s="0" t="n">
        <f aca="false">SUM(L$6:L33)</f>
        <v>6</v>
      </c>
      <c r="T33" s="18" t="n">
        <f aca="false">IF(F33=0,0,IF(Inputs!$D50="Open",F$1,IF(Inputs!$D50="Close",ROUND(F$2*1440-F$3*60,0)/1440,IF(OR(INT((M33-1)/Inputs!$B$7)=0,(INT((M$3-1-MOD(M33-1,Inputs!$B$7))/Inputs!$B$7)+1)&lt;=1),F$1,IF(INT((M33-1)/Inputs!$B$7)&gt;=(INT((M$3-1-MOD(M33-1,Inputs!$B$7))/Inputs!$B$7)+1)-1,ROUND(F$2*1440-F$3*60,0)/1440,MAX(F$1,MIN(ROUND(F$2*1440-F$3*60,0)/1440,ROUND((F$1+INT((M33-1)/Inputs!$B$7)/((INT((M$3-1-MOD(M33-1,Inputs!$B$7))/Inputs!$B$7)+1)-1)*((ROUND(F$2*1440-F$3*60,0)/1440)-F$1))*96,0)/96)))))))</f>
        <v>0</v>
      </c>
      <c r="U33" s="18" t="n">
        <f aca="false">IF(G33=0,0,IF(Inputs!$D50="Open",G$1,IF(Inputs!$D50="Close",ROUND(G$2*1440-G$3*60,0)/1440,IF(OR(INT((N33-1)/Inputs!$B$7)=0,(INT((N$3-1-MOD(N33-1,Inputs!$B$7))/Inputs!$B$7)+1)&lt;=1),G$1,IF(INT((N33-1)/Inputs!$B$7)&gt;=(INT((N$3-1-MOD(N33-1,Inputs!$B$7))/Inputs!$B$7)+1)-1,ROUND(G$2*1440-G$3*60,0)/1440,MAX(G$1,MIN(ROUND(G$2*1440-G$3*60,0)/1440,ROUND((G$1+INT((N33-1)/Inputs!$B$7)/((INT((N$3-1-MOD(N33-1,Inputs!$B$7))/Inputs!$B$7)+1)-1)*((ROUND(G$2*1440-G$3*60,0)/1440)-G$1))*96,0)/96)))))))</f>
        <v>0</v>
      </c>
      <c r="V33" s="18" t="n">
        <f aca="false">IF(H33=0,0,IF(Inputs!$D50="Open",H$1,IF(Inputs!$D50="Close",ROUND(H$2*1440-H$3*60,0)/1440,IF(OR(INT((O33-1)/Inputs!$B$7)=0,(INT((O$3-1-MOD(O33-1,Inputs!$B$7))/Inputs!$B$7)+1)&lt;=1),H$1,IF(INT((O33-1)/Inputs!$B$7)&gt;=(INT((O$3-1-MOD(O33-1,Inputs!$B$7))/Inputs!$B$7)+1)-1,ROUND(H$2*1440-H$3*60,0)/1440,MAX(H$1,MIN(ROUND(H$2*1440-H$3*60,0)/1440,ROUND((H$1+INT((O33-1)/Inputs!$B$7)/((INT((O$3-1-MOD(O33-1,Inputs!$B$7))/Inputs!$B$7)+1)-1)*((ROUND(H$2*1440-H$3*60,0)/1440)-H$1))*96,0)/96)))))))</f>
        <v>0</v>
      </c>
      <c r="W33" s="18" t="n">
        <f aca="false">IF(I33=0,0,IF(Inputs!$D50="Open",I$1,IF(Inputs!$D50="Close",ROUND(I$2*1440-I$3*60,0)/1440,IF(OR(INT((P33-1)/Inputs!$B$7)=0,(INT((P$3-1-MOD(P33-1,Inputs!$B$7))/Inputs!$B$7)+1)&lt;=1),I$1,IF(INT((P33-1)/Inputs!$B$7)&gt;=(INT((P$3-1-MOD(P33-1,Inputs!$B$7))/Inputs!$B$7)+1)-1,ROUND(I$2*1440-I$3*60,0)/1440,MAX(I$1,MIN(ROUND(I$2*1440-I$3*60,0)/1440,ROUND((I$1+INT((P33-1)/Inputs!$B$7)/((INT((P$3-1-MOD(P33-1,Inputs!$B$7))/Inputs!$B$7)+1)-1)*((ROUND(I$2*1440-I$3*60,0)/1440)-I$1))*96,0)/96)))))))</f>
        <v>0</v>
      </c>
      <c r="X33" s="18" t="n">
        <f aca="false">IF(J33=0,0,IF(Inputs!$D50="Open",J$1,IF(Inputs!$D50="Close",ROUND(J$2*1440-J$3*60,0)/1440,IF(OR(INT((Q33-1)/Inputs!$B$7)=0,(INT((Q$3-1-MOD(Q33-1,Inputs!$B$7))/Inputs!$B$7)+1)&lt;=1),J$1,IF(INT((Q33-1)/Inputs!$B$7)&gt;=(INT((Q$3-1-MOD(Q33-1,Inputs!$B$7))/Inputs!$B$7)+1)-1,ROUND(J$2*1440-J$3*60,0)/1440,MAX(J$1,MIN(ROUND(J$2*1440-J$3*60,0)/1440,ROUND((J$1+INT((Q33-1)/Inputs!$B$7)/((INT((Q$3-1-MOD(Q33-1,Inputs!$B$7))/Inputs!$B$7)+1)-1)*((ROUND(J$2*1440-J$3*60,0)/1440)-J$1))*96,0)/96)))))))</f>
        <v>0</v>
      </c>
      <c r="Y33" s="18" t="n">
        <f aca="false">IF(K33=0,0,IF(Inputs!$D50="Open",K$1,IF(Inputs!$D50="Close",ROUND(K$2*1440-K$3*60,0)/1440,IF(OR(INT((R33-1)/Inputs!$B$7)=0,(INT((R$3-1-MOD(R33-1,Inputs!$B$7))/Inputs!$B$7)+1)&lt;=1),K$1,IF(INT((R33-1)/Inputs!$B$7)&gt;=(INT((R$3-1-MOD(R33-1,Inputs!$B$7))/Inputs!$B$7)+1)-1,ROUND(K$2*1440-K$3*60,0)/1440,MAX(K$1,MIN(ROUND(K$2*1440-K$3*60,0)/1440,ROUND((K$1+INT((R33-1)/Inputs!$B$7)/((INT((R$3-1-MOD(R33-1,Inputs!$B$7))/Inputs!$B$7)+1)-1)*((ROUND(K$2*1440-K$3*60,0)/1440)-K$1))*96,0)/96)))))))</f>
        <v>0</v>
      </c>
      <c r="Z33" s="18" t="n">
        <f aca="false">IF(L33=0,0,IF(Inputs!$D50="Open",L$1,IF(Inputs!$D50="Close",ROUND(L$2*1440-L$3*60,0)/1440,IF(OR(INT((S33-1)/Inputs!$B$7)=0,(INT((S$3-1-MOD(S33-1,Inputs!$B$7))/Inputs!$B$7)+1)&lt;=1),L$1,IF(INT((S33-1)/Inputs!$B$7)&gt;=(INT((S$3-1-MOD(S33-1,Inputs!$B$7))/Inputs!$B$7)+1)-1,ROUND(L$2*1440-L$3*60,0)/1440,MAX(L$1,MIN(ROUND(L$2*1440-L$3*60,0)/1440,ROUND((L$1+INT((S33-1)/Inputs!$B$7)/((INT((S$3-1-MOD(S33-1,Inputs!$B$7))/Inputs!$B$7)+1)-1)*((ROUND(L$2*1440-L$3*60,0)/1440)-L$1))*96,0)/96)))))))</f>
        <v>0</v>
      </c>
      <c r="AA33" s="18" t="n">
        <f aca="false">IF(F33=0,0,ROUND(T33*1440+F$3*60,0)/1440)</f>
        <v>0</v>
      </c>
      <c r="AB33" s="18" t="n">
        <f aca="false">IF(G33=0,0,ROUND(U33*1440+G$3*60,0)/1440)</f>
        <v>0</v>
      </c>
      <c r="AC33" s="18" t="n">
        <f aca="false">IF(H33=0,0,ROUND(V33*1440+H$3*60,0)/1440)</f>
        <v>0</v>
      </c>
      <c r="AD33" s="18" t="n">
        <f aca="false">IF(I33=0,0,ROUND(W33*1440+I$3*60,0)/1440)</f>
        <v>0</v>
      </c>
      <c r="AE33" s="18" t="n">
        <f aca="false">IF(J33=0,0,ROUND(X33*1440+J$3*60,0)/1440)</f>
        <v>0</v>
      </c>
      <c r="AF33" s="18" t="n">
        <f aca="false">IF(K33=0,0,ROUND(Y33*1440+K$3*60,0)/1440)</f>
        <v>0</v>
      </c>
      <c r="AG33" s="18" t="n">
        <f aca="false">IF(L33=0,0,ROUND(Z33*1440+L$3*60,0)/1440)</f>
        <v>0</v>
      </c>
      <c r="AH33" s="19" t="n">
        <f aca="false">SUMPRODUCT((MOD(AO$1:AU$1-0,7)&lt;Inputs!$B$6)*AO$2:AU$2*(AO32:AU32+1))*100+MOD(0-5,7)</f>
        <v>1602</v>
      </c>
      <c r="AI33" s="19" t="n">
        <f aca="false">SUMPRODUCT((MOD(AO$1:AU$1-1,7)&lt;Inputs!$B$6)*AO$2:AU$2*(AO32:AU32+1))*100+MOD(1-5,7)</f>
        <v>1403</v>
      </c>
      <c r="AJ33" s="19" t="n">
        <f aca="false">SUMPRODUCT((MOD(AO$1:AU$1-2,7)&lt;Inputs!$B$6)*AO$2:AU$2*(AO32:AU32+1))*100+MOD(2-5,7)</f>
        <v>1404</v>
      </c>
      <c r="AK33" s="19" t="n">
        <f aca="false">SUMPRODUCT((MOD(AO$1:AU$1-3,7)&lt;Inputs!$B$6)*AO$2:AU$2*(AO32:AU32+1))*100+MOD(3-5,7)</f>
        <v>1405</v>
      </c>
      <c r="AL33" s="19" t="n">
        <f aca="false">SUMPRODUCT((MOD(AO$1:AU$1-4,7)&lt;Inputs!$B$6)*AO$2:AU$2*(AO32:AU32+1))*100+MOD(4-5,7)</f>
        <v>1406</v>
      </c>
      <c r="AM33" s="19" t="n">
        <f aca="false">SUMPRODUCT((MOD(AO$1:AU$1-5,7)&lt;Inputs!$B$6)*AO$2:AU$2*(AO32:AU32+1))*100+MOD(5-5,7)</f>
        <v>1800</v>
      </c>
      <c r="AN33" s="19" t="n">
        <f aca="false">SUMPRODUCT((MOD(AO$1:AU$1-6,7)&lt;Inputs!$B$6)*AO$2:AU$2*(AO32:AU32+1))*100+MOD(6-5,7)</f>
        <v>1801</v>
      </c>
      <c r="AO33" s="19" t="n">
        <f aca="false">AO32+IF($B33=1,IF(MOD(0-$D33,7)&lt;Inputs!$B$6,1,0),0)</f>
        <v>3</v>
      </c>
      <c r="AP33" s="19" t="n">
        <f aca="false">AP32+IF($B33=1,IF(MOD(1-$D33,7)&lt;Inputs!$B$6,1,0),0)</f>
        <v>3</v>
      </c>
      <c r="AQ33" s="19" t="n">
        <f aca="false">AQ32+IF($B33=1,IF(MOD(2-$D33,7)&lt;Inputs!$B$6,1,0),0)</f>
        <v>2</v>
      </c>
      <c r="AR33" s="19" t="n">
        <f aca="false">AR32+IF($B33=1,IF(MOD(3-$D33,7)&lt;Inputs!$B$6,1,0),0)</f>
        <v>3</v>
      </c>
      <c r="AS33" s="19" t="n">
        <f aca="false">AS32+IF($B33=1,IF(MOD(4-$D33,7)&lt;Inputs!$B$6,1,0),0)</f>
        <v>2</v>
      </c>
      <c r="AT33" s="19" t="n">
        <f aca="false">AT32+IF($B33=1,IF(MOD(5-$D33,7)&lt;Inputs!$B$6,1,0),0)</f>
        <v>3</v>
      </c>
      <c r="AU33" s="19" t="n">
        <f aca="false">AU32+IF($B33=1,IF(MOD(6-$D33,7)&lt;Inputs!$B$6,1,0),0)</f>
        <v>4</v>
      </c>
    </row>
    <row r="34" customFormat="false" ht="15" hidden="false" customHeight="false" outlineLevel="0" collapsed="false">
      <c r="A34" s="0" t="n">
        <v>29</v>
      </c>
      <c r="B34" s="0" t="n">
        <f aca="false">IF(A34&lt;=Inputs!$B$3,1,0)</f>
        <v>0</v>
      </c>
      <c r="C34" s="0" t="n">
        <f aca="false">MOD(5+MOD(A34-1,7),7)</f>
        <v>5</v>
      </c>
      <c r="D34" s="0" t="n">
        <f aca="false">IF(Inputs!C51&lt;&gt;"",MATCH(Inputs!C51,Inputs!$A$11:$A$17,0)-1,IF(B34=0,0,MATCH(MIN(AH34:AN34),AH34:AN34,0)-1))</f>
        <v>0</v>
      </c>
      <c r="F34" s="0" t="n">
        <f aca="false">IF(OR($B34=0,F$3=0),0,IF(MOD(0-$D34,7)&lt;Inputs!$B$6,0,1))</f>
        <v>0</v>
      </c>
      <c r="G34" s="0" t="n">
        <f aca="false">IF(OR($B34=0,G$3=0),0,IF(MOD(1-$D34,7)&lt;Inputs!$B$6,0,1))</f>
        <v>0</v>
      </c>
      <c r="H34" s="0" t="n">
        <f aca="false">IF(OR($B34=0,H$3=0),0,IF(MOD(2-$D34,7)&lt;Inputs!$B$6,0,1))</f>
        <v>0</v>
      </c>
      <c r="I34" s="0" t="n">
        <f aca="false">IF(OR($B34=0,I$3=0),0,IF(MOD(3-$D34,7)&lt;Inputs!$B$6,0,1))</f>
        <v>0</v>
      </c>
      <c r="J34" s="0" t="n">
        <f aca="false">IF(OR($B34=0,J$3=0),0,IF(MOD(4-$D34,7)&lt;Inputs!$B$6,0,1))</f>
        <v>0</v>
      </c>
      <c r="K34" s="0" t="n">
        <f aca="false">IF(OR($B34=0,K$3=0),0,IF(MOD(5-$D34,7)&lt;Inputs!$B$6,0,1))</f>
        <v>0</v>
      </c>
      <c r="L34" s="0" t="n">
        <f aca="false">IF(OR($B34=0,L$3=0),0,IF(MOD(6-$D34,7)&lt;Inputs!$B$6,0,1))</f>
        <v>0</v>
      </c>
      <c r="M34" s="0" t="n">
        <f aca="false">SUM(F$6:F34)</f>
        <v>7</v>
      </c>
      <c r="N34" s="0" t="n">
        <f aca="false">SUM(G$6:G34)</f>
        <v>7</v>
      </c>
      <c r="O34" s="0" t="n">
        <f aca="false">SUM(H$6:H34)</f>
        <v>8</v>
      </c>
      <c r="P34" s="0" t="n">
        <f aca="false">SUM(I$6:I34)</f>
        <v>7</v>
      </c>
      <c r="Q34" s="0" t="n">
        <f aca="false">SUM(J$6:J34)</f>
        <v>8</v>
      </c>
      <c r="R34" s="0" t="n">
        <f aca="false">SUM(K$6:K34)</f>
        <v>7</v>
      </c>
      <c r="S34" s="0" t="n">
        <f aca="false">SUM(L$6:L34)</f>
        <v>6</v>
      </c>
      <c r="T34" s="18" t="n">
        <f aca="false">IF(F34=0,0,IF(Inputs!$D51="Open",F$1,IF(Inputs!$D51="Close",ROUND(F$2*1440-F$3*60,0)/1440,IF(OR(INT((M34-1)/Inputs!$B$7)=0,(INT((M$3-1-MOD(M34-1,Inputs!$B$7))/Inputs!$B$7)+1)&lt;=1),F$1,IF(INT((M34-1)/Inputs!$B$7)&gt;=(INT((M$3-1-MOD(M34-1,Inputs!$B$7))/Inputs!$B$7)+1)-1,ROUND(F$2*1440-F$3*60,0)/1440,MAX(F$1,MIN(ROUND(F$2*1440-F$3*60,0)/1440,ROUND((F$1+INT((M34-1)/Inputs!$B$7)/((INT((M$3-1-MOD(M34-1,Inputs!$B$7))/Inputs!$B$7)+1)-1)*((ROUND(F$2*1440-F$3*60,0)/1440)-F$1))*96,0)/96)))))))</f>
        <v>0</v>
      </c>
      <c r="U34" s="18" t="n">
        <f aca="false">IF(G34=0,0,IF(Inputs!$D51="Open",G$1,IF(Inputs!$D51="Close",ROUND(G$2*1440-G$3*60,0)/1440,IF(OR(INT((N34-1)/Inputs!$B$7)=0,(INT((N$3-1-MOD(N34-1,Inputs!$B$7))/Inputs!$B$7)+1)&lt;=1),G$1,IF(INT((N34-1)/Inputs!$B$7)&gt;=(INT((N$3-1-MOD(N34-1,Inputs!$B$7))/Inputs!$B$7)+1)-1,ROUND(G$2*1440-G$3*60,0)/1440,MAX(G$1,MIN(ROUND(G$2*1440-G$3*60,0)/1440,ROUND((G$1+INT((N34-1)/Inputs!$B$7)/((INT((N$3-1-MOD(N34-1,Inputs!$B$7))/Inputs!$B$7)+1)-1)*((ROUND(G$2*1440-G$3*60,0)/1440)-G$1))*96,0)/96)))))))</f>
        <v>0</v>
      </c>
      <c r="V34" s="18" t="n">
        <f aca="false">IF(H34=0,0,IF(Inputs!$D51="Open",H$1,IF(Inputs!$D51="Close",ROUND(H$2*1440-H$3*60,0)/1440,IF(OR(INT((O34-1)/Inputs!$B$7)=0,(INT((O$3-1-MOD(O34-1,Inputs!$B$7))/Inputs!$B$7)+1)&lt;=1),H$1,IF(INT((O34-1)/Inputs!$B$7)&gt;=(INT((O$3-1-MOD(O34-1,Inputs!$B$7))/Inputs!$B$7)+1)-1,ROUND(H$2*1440-H$3*60,0)/1440,MAX(H$1,MIN(ROUND(H$2*1440-H$3*60,0)/1440,ROUND((H$1+INT((O34-1)/Inputs!$B$7)/((INT((O$3-1-MOD(O34-1,Inputs!$B$7))/Inputs!$B$7)+1)-1)*((ROUND(H$2*1440-H$3*60,0)/1440)-H$1))*96,0)/96)))))))</f>
        <v>0</v>
      </c>
      <c r="W34" s="18" t="n">
        <f aca="false">IF(I34=0,0,IF(Inputs!$D51="Open",I$1,IF(Inputs!$D51="Close",ROUND(I$2*1440-I$3*60,0)/1440,IF(OR(INT((P34-1)/Inputs!$B$7)=0,(INT((P$3-1-MOD(P34-1,Inputs!$B$7))/Inputs!$B$7)+1)&lt;=1),I$1,IF(INT((P34-1)/Inputs!$B$7)&gt;=(INT((P$3-1-MOD(P34-1,Inputs!$B$7))/Inputs!$B$7)+1)-1,ROUND(I$2*1440-I$3*60,0)/1440,MAX(I$1,MIN(ROUND(I$2*1440-I$3*60,0)/1440,ROUND((I$1+INT((P34-1)/Inputs!$B$7)/((INT((P$3-1-MOD(P34-1,Inputs!$B$7))/Inputs!$B$7)+1)-1)*((ROUND(I$2*1440-I$3*60,0)/1440)-I$1))*96,0)/96)))))))</f>
        <v>0</v>
      </c>
      <c r="X34" s="18" t="n">
        <f aca="false">IF(J34=0,0,IF(Inputs!$D51="Open",J$1,IF(Inputs!$D51="Close",ROUND(J$2*1440-J$3*60,0)/1440,IF(OR(INT((Q34-1)/Inputs!$B$7)=0,(INT((Q$3-1-MOD(Q34-1,Inputs!$B$7))/Inputs!$B$7)+1)&lt;=1),J$1,IF(INT((Q34-1)/Inputs!$B$7)&gt;=(INT((Q$3-1-MOD(Q34-1,Inputs!$B$7))/Inputs!$B$7)+1)-1,ROUND(J$2*1440-J$3*60,0)/1440,MAX(J$1,MIN(ROUND(J$2*1440-J$3*60,0)/1440,ROUND((J$1+INT((Q34-1)/Inputs!$B$7)/((INT((Q$3-1-MOD(Q34-1,Inputs!$B$7))/Inputs!$B$7)+1)-1)*((ROUND(J$2*1440-J$3*60,0)/1440)-J$1))*96,0)/96)))))))</f>
        <v>0</v>
      </c>
      <c r="Y34" s="18" t="n">
        <f aca="false">IF(K34=0,0,IF(Inputs!$D51="Open",K$1,IF(Inputs!$D51="Close",ROUND(K$2*1440-K$3*60,0)/1440,IF(OR(INT((R34-1)/Inputs!$B$7)=0,(INT((R$3-1-MOD(R34-1,Inputs!$B$7))/Inputs!$B$7)+1)&lt;=1),K$1,IF(INT((R34-1)/Inputs!$B$7)&gt;=(INT((R$3-1-MOD(R34-1,Inputs!$B$7))/Inputs!$B$7)+1)-1,ROUND(K$2*1440-K$3*60,0)/1440,MAX(K$1,MIN(ROUND(K$2*1440-K$3*60,0)/1440,ROUND((K$1+INT((R34-1)/Inputs!$B$7)/((INT((R$3-1-MOD(R34-1,Inputs!$B$7))/Inputs!$B$7)+1)-1)*((ROUND(K$2*1440-K$3*60,0)/1440)-K$1))*96,0)/96)))))))</f>
        <v>0</v>
      </c>
      <c r="Z34" s="18" t="n">
        <f aca="false">IF(L34=0,0,IF(Inputs!$D51="Open",L$1,IF(Inputs!$D51="Close",ROUND(L$2*1440-L$3*60,0)/1440,IF(OR(INT((S34-1)/Inputs!$B$7)=0,(INT((S$3-1-MOD(S34-1,Inputs!$B$7))/Inputs!$B$7)+1)&lt;=1),L$1,IF(INT((S34-1)/Inputs!$B$7)&gt;=(INT((S$3-1-MOD(S34-1,Inputs!$B$7))/Inputs!$B$7)+1)-1,ROUND(L$2*1440-L$3*60,0)/1440,MAX(L$1,MIN(ROUND(L$2*1440-L$3*60,0)/1440,ROUND((L$1+INT((S34-1)/Inputs!$B$7)/((INT((S$3-1-MOD(S34-1,Inputs!$B$7))/Inputs!$B$7)+1)-1)*((ROUND(L$2*1440-L$3*60,0)/1440)-L$1))*96,0)/96)))))))</f>
        <v>0</v>
      </c>
      <c r="AA34" s="18" t="n">
        <f aca="false">IF(F34=0,0,ROUND(T34*1440+F$3*60,0)/1440)</f>
        <v>0</v>
      </c>
      <c r="AB34" s="18" t="n">
        <f aca="false">IF(G34=0,0,ROUND(U34*1440+G$3*60,0)/1440)</f>
        <v>0</v>
      </c>
      <c r="AC34" s="18" t="n">
        <f aca="false">IF(H34=0,0,ROUND(V34*1440+H$3*60,0)/1440)</f>
        <v>0</v>
      </c>
      <c r="AD34" s="18" t="n">
        <f aca="false">IF(I34=0,0,ROUND(W34*1440+I$3*60,0)/1440)</f>
        <v>0</v>
      </c>
      <c r="AE34" s="18" t="n">
        <f aca="false">IF(J34=0,0,ROUND(X34*1440+J$3*60,0)/1440)</f>
        <v>0</v>
      </c>
      <c r="AF34" s="18" t="n">
        <f aca="false">IF(K34=0,0,ROUND(Y34*1440+K$3*60,0)/1440)</f>
        <v>0</v>
      </c>
      <c r="AG34" s="18" t="n">
        <f aca="false">IF(L34=0,0,ROUND(Z34*1440+L$3*60,0)/1440)</f>
        <v>0</v>
      </c>
      <c r="AH34" s="19" t="n">
        <f aca="false">SUMPRODUCT((MOD(AO$1:AU$1-0,7)&lt;Inputs!$B$6)*AO$2:AU$2*(AO33:AU33+1))*100+MOD(0-5,7)</f>
        <v>1602</v>
      </c>
      <c r="AI34" s="19" t="n">
        <f aca="false">SUMPRODUCT((MOD(AO$1:AU$1-1,7)&lt;Inputs!$B$6)*AO$2:AU$2*(AO33:AU33+1))*100+MOD(1-5,7)</f>
        <v>1403</v>
      </c>
      <c r="AJ34" s="19" t="n">
        <f aca="false">SUMPRODUCT((MOD(AO$1:AU$1-2,7)&lt;Inputs!$B$6)*AO$2:AU$2*(AO33:AU33+1))*100+MOD(2-5,7)</f>
        <v>1404</v>
      </c>
      <c r="AK34" s="19" t="n">
        <f aca="false">SUMPRODUCT((MOD(AO$1:AU$1-3,7)&lt;Inputs!$B$6)*AO$2:AU$2*(AO33:AU33+1))*100+MOD(3-5,7)</f>
        <v>1405</v>
      </c>
      <c r="AL34" s="19" t="n">
        <f aca="false">SUMPRODUCT((MOD(AO$1:AU$1-4,7)&lt;Inputs!$B$6)*AO$2:AU$2*(AO33:AU33+1))*100+MOD(4-5,7)</f>
        <v>1406</v>
      </c>
      <c r="AM34" s="19" t="n">
        <f aca="false">SUMPRODUCT((MOD(AO$1:AU$1-5,7)&lt;Inputs!$B$6)*AO$2:AU$2*(AO33:AU33+1))*100+MOD(5-5,7)</f>
        <v>1800</v>
      </c>
      <c r="AN34" s="19" t="n">
        <f aca="false">SUMPRODUCT((MOD(AO$1:AU$1-6,7)&lt;Inputs!$B$6)*AO$2:AU$2*(AO33:AU33+1))*100+MOD(6-5,7)</f>
        <v>1801</v>
      </c>
      <c r="AO34" s="19" t="n">
        <f aca="false">AO33+IF($B34=1,IF(MOD(0-$D34,7)&lt;Inputs!$B$6,1,0),0)</f>
        <v>3</v>
      </c>
      <c r="AP34" s="19" t="n">
        <f aca="false">AP33+IF($B34=1,IF(MOD(1-$D34,7)&lt;Inputs!$B$6,1,0),0)</f>
        <v>3</v>
      </c>
      <c r="AQ34" s="19" t="n">
        <f aca="false">AQ33+IF($B34=1,IF(MOD(2-$D34,7)&lt;Inputs!$B$6,1,0),0)</f>
        <v>2</v>
      </c>
      <c r="AR34" s="19" t="n">
        <f aca="false">AR33+IF($B34=1,IF(MOD(3-$D34,7)&lt;Inputs!$B$6,1,0),0)</f>
        <v>3</v>
      </c>
      <c r="AS34" s="19" t="n">
        <f aca="false">AS33+IF($B34=1,IF(MOD(4-$D34,7)&lt;Inputs!$B$6,1,0),0)</f>
        <v>2</v>
      </c>
      <c r="AT34" s="19" t="n">
        <f aca="false">AT33+IF($B34=1,IF(MOD(5-$D34,7)&lt;Inputs!$B$6,1,0),0)</f>
        <v>3</v>
      </c>
      <c r="AU34" s="19" t="n">
        <f aca="false">AU33+IF($B34=1,IF(MOD(6-$D34,7)&lt;Inputs!$B$6,1,0),0)</f>
        <v>4</v>
      </c>
    </row>
    <row r="35" customFormat="false" ht="15" hidden="false" customHeight="false" outlineLevel="0" collapsed="false">
      <c r="A35" s="0" t="n">
        <v>30</v>
      </c>
      <c r="B35" s="0" t="n">
        <f aca="false">IF(A35&lt;=Inputs!$B$3,1,0)</f>
        <v>0</v>
      </c>
      <c r="C35" s="0" t="n">
        <f aca="false">MOD(5+MOD(A35-1,7),7)</f>
        <v>6</v>
      </c>
      <c r="D35" s="0" t="n">
        <f aca="false">IF(Inputs!C52&lt;&gt;"",MATCH(Inputs!C52,Inputs!$A$11:$A$17,0)-1,IF(B35=0,0,MATCH(MIN(AH35:AN35),AH35:AN35,0)-1))</f>
        <v>0</v>
      </c>
      <c r="F35" s="0" t="n">
        <f aca="false">IF(OR($B35=0,F$3=0),0,IF(MOD(0-$D35,7)&lt;Inputs!$B$6,0,1))</f>
        <v>0</v>
      </c>
      <c r="G35" s="0" t="n">
        <f aca="false">IF(OR($B35=0,G$3=0),0,IF(MOD(1-$D35,7)&lt;Inputs!$B$6,0,1))</f>
        <v>0</v>
      </c>
      <c r="H35" s="0" t="n">
        <f aca="false">IF(OR($B35=0,H$3=0),0,IF(MOD(2-$D35,7)&lt;Inputs!$B$6,0,1))</f>
        <v>0</v>
      </c>
      <c r="I35" s="0" t="n">
        <f aca="false">IF(OR($B35=0,I$3=0),0,IF(MOD(3-$D35,7)&lt;Inputs!$B$6,0,1))</f>
        <v>0</v>
      </c>
      <c r="J35" s="0" t="n">
        <f aca="false">IF(OR($B35=0,J$3=0),0,IF(MOD(4-$D35,7)&lt;Inputs!$B$6,0,1))</f>
        <v>0</v>
      </c>
      <c r="K35" s="0" t="n">
        <f aca="false">IF(OR($B35=0,K$3=0),0,IF(MOD(5-$D35,7)&lt;Inputs!$B$6,0,1))</f>
        <v>0</v>
      </c>
      <c r="L35" s="0" t="n">
        <f aca="false">IF(OR($B35=0,L$3=0),0,IF(MOD(6-$D35,7)&lt;Inputs!$B$6,0,1))</f>
        <v>0</v>
      </c>
      <c r="M35" s="0" t="n">
        <f aca="false">SUM(F$6:F35)</f>
        <v>7</v>
      </c>
      <c r="N35" s="0" t="n">
        <f aca="false">SUM(G$6:G35)</f>
        <v>7</v>
      </c>
      <c r="O35" s="0" t="n">
        <f aca="false">SUM(H$6:H35)</f>
        <v>8</v>
      </c>
      <c r="P35" s="0" t="n">
        <f aca="false">SUM(I$6:I35)</f>
        <v>7</v>
      </c>
      <c r="Q35" s="0" t="n">
        <f aca="false">SUM(J$6:J35)</f>
        <v>8</v>
      </c>
      <c r="R35" s="0" t="n">
        <f aca="false">SUM(K$6:K35)</f>
        <v>7</v>
      </c>
      <c r="S35" s="0" t="n">
        <f aca="false">SUM(L$6:L35)</f>
        <v>6</v>
      </c>
      <c r="T35" s="18" t="n">
        <f aca="false">IF(F35=0,0,IF(Inputs!$D52="Open",F$1,IF(Inputs!$D52="Close",ROUND(F$2*1440-F$3*60,0)/1440,IF(OR(INT((M35-1)/Inputs!$B$7)=0,(INT((M$3-1-MOD(M35-1,Inputs!$B$7))/Inputs!$B$7)+1)&lt;=1),F$1,IF(INT((M35-1)/Inputs!$B$7)&gt;=(INT((M$3-1-MOD(M35-1,Inputs!$B$7))/Inputs!$B$7)+1)-1,ROUND(F$2*1440-F$3*60,0)/1440,MAX(F$1,MIN(ROUND(F$2*1440-F$3*60,0)/1440,ROUND((F$1+INT((M35-1)/Inputs!$B$7)/((INT((M$3-1-MOD(M35-1,Inputs!$B$7))/Inputs!$B$7)+1)-1)*((ROUND(F$2*1440-F$3*60,0)/1440)-F$1))*96,0)/96)))))))</f>
        <v>0</v>
      </c>
      <c r="U35" s="18" t="n">
        <f aca="false">IF(G35=0,0,IF(Inputs!$D52="Open",G$1,IF(Inputs!$D52="Close",ROUND(G$2*1440-G$3*60,0)/1440,IF(OR(INT((N35-1)/Inputs!$B$7)=0,(INT((N$3-1-MOD(N35-1,Inputs!$B$7))/Inputs!$B$7)+1)&lt;=1),G$1,IF(INT((N35-1)/Inputs!$B$7)&gt;=(INT((N$3-1-MOD(N35-1,Inputs!$B$7))/Inputs!$B$7)+1)-1,ROUND(G$2*1440-G$3*60,0)/1440,MAX(G$1,MIN(ROUND(G$2*1440-G$3*60,0)/1440,ROUND((G$1+INT((N35-1)/Inputs!$B$7)/((INT((N$3-1-MOD(N35-1,Inputs!$B$7))/Inputs!$B$7)+1)-1)*((ROUND(G$2*1440-G$3*60,0)/1440)-G$1))*96,0)/96)))))))</f>
        <v>0</v>
      </c>
      <c r="V35" s="18" t="n">
        <f aca="false">IF(H35=0,0,IF(Inputs!$D52="Open",H$1,IF(Inputs!$D52="Close",ROUND(H$2*1440-H$3*60,0)/1440,IF(OR(INT((O35-1)/Inputs!$B$7)=0,(INT((O$3-1-MOD(O35-1,Inputs!$B$7))/Inputs!$B$7)+1)&lt;=1),H$1,IF(INT((O35-1)/Inputs!$B$7)&gt;=(INT((O$3-1-MOD(O35-1,Inputs!$B$7))/Inputs!$B$7)+1)-1,ROUND(H$2*1440-H$3*60,0)/1440,MAX(H$1,MIN(ROUND(H$2*1440-H$3*60,0)/1440,ROUND((H$1+INT((O35-1)/Inputs!$B$7)/((INT((O$3-1-MOD(O35-1,Inputs!$B$7))/Inputs!$B$7)+1)-1)*((ROUND(H$2*1440-H$3*60,0)/1440)-H$1))*96,0)/96)))))))</f>
        <v>0</v>
      </c>
      <c r="W35" s="18" t="n">
        <f aca="false">IF(I35=0,0,IF(Inputs!$D52="Open",I$1,IF(Inputs!$D52="Close",ROUND(I$2*1440-I$3*60,0)/1440,IF(OR(INT((P35-1)/Inputs!$B$7)=0,(INT((P$3-1-MOD(P35-1,Inputs!$B$7))/Inputs!$B$7)+1)&lt;=1),I$1,IF(INT((P35-1)/Inputs!$B$7)&gt;=(INT((P$3-1-MOD(P35-1,Inputs!$B$7))/Inputs!$B$7)+1)-1,ROUND(I$2*1440-I$3*60,0)/1440,MAX(I$1,MIN(ROUND(I$2*1440-I$3*60,0)/1440,ROUND((I$1+INT((P35-1)/Inputs!$B$7)/((INT((P$3-1-MOD(P35-1,Inputs!$B$7))/Inputs!$B$7)+1)-1)*((ROUND(I$2*1440-I$3*60,0)/1440)-I$1))*96,0)/96)))))))</f>
        <v>0</v>
      </c>
      <c r="X35" s="18" t="n">
        <f aca="false">IF(J35=0,0,IF(Inputs!$D52="Open",J$1,IF(Inputs!$D52="Close",ROUND(J$2*1440-J$3*60,0)/1440,IF(OR(INT((Q35-1)/Inputs!$B$7)=0,(INT((Q$3-1-MOD(Q35-1,Inputs!$B$7))/Inputs!$B$7)+1)&lt;=1),J$1,IF(INT((Q35-1)/Inputs!$B$7)&gt;=(INT((Q$3-1-MOD(Q35-1,Inputs!$B$7))/Inputs!$B$7)+1)-1,ROUND(J$2*1440-J$3*60,0)/1440,MAX(J$1,MIN(ROUND(J$2*1440-J$3*60,0)/1440,ROUND((J$1+INT((Q35-1)/Inputs!$B$7)/((INT((Q$3-1-MOD(Q35-1,Inputs!$B$7))/Inputs!$B$7)+1)-1)*((ROUND(J$2*1440-J$3*60,0)/1440)-J$1))*96,0)/96)))))))</f>
        <v>0</v>
      </c>
      <c r="Y35" s="18" t="n">
        <f aca="false">IF(K35=0,0,IF(Inputs!$D52="Open",K$1,IF(Inputs!$D52="Close",ROUND(K$2*1440-K$3*60,0)/1440,IF(OR(INT((R35-1)/Inputs!$B$7)=0,(INT((R$3-1-MOD(R35-1,Inputs!$B$7))/Inputs!$B$7)+1)&lt;=1),K$1,IF(INT((R35-1)/Inputs!$B$7)&gt;=(INT((R$3-1-MOD(R35-1,Inputs!$B$7))/Inputs!$B$7)+1)-1,ROUND(K$2*1440-K$3*60,0)/1440,MAX(K$1,MIN(ROUND(K$2*1440-K$3*60,0)/1440,ROUND((K$1+INT((R35-1)/Inputs!$B$7)/((INT((R$3-1-MOD(R35-1,Inputs!$B$7))/Inputs!$B$7)+1)-1)*((ROUND(K$2*1440-K$3*60,0)/1440)-K$1))*96,0)/96)))))))</f>
        <v>0</v>
      </c>
      <c r="Z35" s="18" t="n">
        <f aca="false">IF(L35=0,0,IF(Inputs!$D52="Open",L$1,IF(Inputs!$D52="Close",ROUND(L$2*1440-L$3*60,0)/1440,IF(OR(INT((S35-1)/Inputs!$B$7)=0,(INT((S$3-1-MOD(S35-1,Inputs!$B$7))/Inputs!$B$7)+1)&lt;=1),L$1,IF(INT((S35-1)/Inputs!$B$7)&gt;=(INT((S$3-1-MOD(S35-1,Inputs!$B$7))/Inputs!$B$7)+1)-1,ROUND(L$2*1440-L$3*60,0)/1440,MAX(L$1,MIN(ROUND(L$2*1440-L$3*60,0)/1440,ROUND((L$1+INT((S35-1)/Inputs!$B$7)/((INT((S$3-1-MOD(S35-1,Inputs!$B$7))/Inputs!$B$7)+1)-1)*((ROUND(L$2*1440-L$3*60,0)/1440)-L$1))*96,0)/96)))))))</f>
        <v>0</v>
      </c>
      <c r="AA35" s="18" t="n">
        <f aca="false">IF(F35=0,0,ROUND(T35*1440+F$3*60,0)/1440)</f>
        <v>0</v>
      </c>
      <c r="AB35" s="18" t="n">
        <f aca="false">IF(G35=0,0,ROUND(U35*1440+G$3*60,0)/1440)</f>
        <v>0</v>
      </c>
      <c r="AC35" s="18" t="n">
        <f aca="false">IF(H35=0,0,ROUND(V35*1440+H$3*60,0)/1440)</f>
        <v>0</v>
      </c>
      <c r="AD35" s="18" t="n">
        <f aca="false">IF(I35=0,0,ROUND(W35*1440+I$3*60,0)/1440)</f>
        <v>0</v>
      </c>
      <c r="AE35" s="18" t="n">
        <f aca="false">IF(J35=0,0,ROUND(X35*1440+J$3*60,0)/1440)</f>
        <v>0</v>
      </c>
      <c r="AF35" s="18" t="n">
        <f aca="false">IF(K35=0,0,ROUND(Y35*1440+K$3*60,0)/1440)</f>
        <v>0</v>
      </c>
      <c r="AG35" s="18" t="n">
        <f aca="false">IF(L35=0,0,ROUND(Z35*1440+L$3*60,0)/1440)</f>
        <v>0</v>
      </c>
      <c r="AH35" s="19" t="n">
        <f aca="false">SUMPRODUCT((MOD(AO$1:AU$1-0,7)&lt;Inputs!$B$6)*AO$2:AU$2*(AO34:AU34+1))*100+MOD(0-5,7)</f>
        <v>1602</v>
      </c>
      <c r="AI35" s="19" t="n">
        <f aca="false">SUMPRODUCT((MOD(AO$1:AU$1-1,7)&lt;Inputs!$B$6)*AO$2:AU$2*(AO34:AU34+1))*100+MOD(1-5,7)</f>
        <v>1403</v>
      </c>
      <c r="AJ35" s="19" t="n">
        <f aca="false">SUMPRODUCT((MOD(AO$1:AU$1-2,7)&lt;Inputs!$B$6)*AO$2:AU$2*(AO34:AU34+1))*100+MOD(2-5,7)</f>
        <v>1404</v>
      </c>
      <c r="AK35" s="19" t="n">
        <f aca="false">SUMPRODUCT((MOD(AO$1:AU$1-3,7)&lt;Inputs!$B$6)*AO$2:AU$2*(AO34:AU34+1))*100+MOD(3-5,7)</f>
        <v>1405</v>
      </c>
      <c r="AL35" s="19" t="n">
        <f aca="false">SUMPRODUCT((MOD(AO$1:AU$1-4,7)&lt;Inputs!$B$6)*AO$2:AU$2*(AO34:AU34+1))*100+MOD(4-5,7)</f>
        <v>1406</v>
      </c>
      <c r="AM35" s="19" t="n">
        <f aca="false">SUMPRODUCT((MOD(AO$1:AU$1-5,7)&lt;Inputs!$B$6)*AO$2:AU$2*(AO34:AU34+1))*100+MOD(5-5,7)</f>
        <v>1800</v>
      </c>
      <c r="AN35" s="19" t="n">
        <f aca="false">SUMPRODUCT((MOD(AO$1:AU$1-6,7)&lt;Inputs!$B$6)*AO$2:AU$2*(AO34:AU34+1))*100+MOD(6-5,7)</f>
        <v>1801</v>
      </c>
      <c r="AO35" s="19" t="n">
        <f aca="false">AO34+IF($B35=1,IF(MOD(0-$D35,7)&lt;Inputs!$B$6,1,0),0)</f>
        <v>3</v>
      </c>
      <c r="AP35" s="19" t="n">
        <f aca="false">AP34+IF($B35=1,IF(MOD(1-$D35,7)&lt;Inputs!$B$6,1,0),0)</f>
        <v>3</v>
      </c>
      <c r="AQ35" s="19" t="n">
        <f aca="false">AQ34+IF($B35=1,IF(MOD(2-$D35,7)&lt;Inputs!$B$6,1,0),0)</f>
        <v>2</v>
      </c>
      <c r="AR35" s="19" t="n">
        <f aca="false">AR34+IF($B35=1,IF(MOD(3-$D35,7)&lt;Inputs!$B$6,1,0),0)</f>
        <v>3</v>
      </c>
      <c r="AS35" s="19" t="n">
        <f aca="false">AS34+IF($B35=1,IF(MOD(4-$D35,7)&lt;Inputs!$B$6,1,0),0)</f>
        <v>2</v>
      </c>
      <c r="AT35" s="19" t="n">
        <f aca="false">AT34+IF($B35=1,IF(MOD(5-$D35,7)&lt;Inputs!$B$6,1,0),0)</f>
        <v>3</v>
      </c>
      <c r="AU35" s="19" t="n">
        <f aca="false">AU34+IF($B35=1,IF(MOD(6-$D35,7)&lt;Inputs!$B$6,1,0),0)</f>
        <v>4</v>
      </c>
    </row>
    <row r="36" customFormat="false" ht="15" hidden="false" customHeight="false" outlineLevel="0" collapsed="false">
      <c r="A36" s="0" t="n">
        <v>31</v>
      </c>
      <c r="B36" s="0" t="n">
        <f aca="false">IF(A36&lt;=Inputs!$B$3,1,0)</f>
        <v>0</v>
      </c>
      <c r="C36" s="0" t="n">
        <f aca="false">MOD(5+MOD(A36-1,7),7)</f>
        <v>0</v>
      </c>
      <c r="D36" s="0" t="n">
        <f aca="false">IF(Inputs!C53&lt;&gt;"",MATCH(Inputs!C53,Inputs!$A$11:$A$17,0)-1,IF(B36=0,0,MATCH(MIN(AH36:AN36),AH36:AN36,0)-1))</f>
        <v>0</v>
      </c>
      <c r="F36" s="0" t="n">
        <f aca="false">IF(OR($B36=0,F$3=0),0,IF(MOD(0-$D36,7)&lt;Inputs!$B$6,0,1))</f>
        <v>0</v>
      </c>
      <c r="G36" s="0" t="n">
        <f aca="false">IF(OR($B36=0,G$3=0),0,IF(MOD(1-$D36,7)&lt;Inputs!$B$6,0,1))</f>
        <v>0</v>
      </c>
      <c r="H36" s="0" t="n">
        <f aca="false">IF(OR($B36=0,H$3=0),0,IF(MOD(2-$D36,7)&lt;Inputs!$B$6,0,1))</f>
        <v>0</v>
      </c>
      <c r="I36" s="0" t="n">
        <f aca="false">IF(OR($B36=0,I$3=0),0,IF(MOD(3-$D36,7)&lt;Inputs!$B$6,0,1))</f>
        <v>0</v>
      </c>
      <c r="J36" s="0" t="n">
        <f aca="false">IF(OR($B36=0,J$3=0),0,IF(MOD(4-$D36,7)&lt;Inputs!$B$6,0,1))</f>
        <v>0</v>
      </c>
      <c r="K36" s="0" t="n">
        <f aca="false">IF(OR($B36=0,K$3=0),0,IF(MOD(5-$D36,7)&lt;Inputs!$B$6,0,1))</f>
        <v>0</v>
      </c>
      <c r="L36" s="0" t="n">
        <f aca="false">IF(OR($B36=0,L$3=0),0,IF(MOD(6-$D36,7)&lt;Inputs!$B$6,0,1))</f>
        <v>0</v>
      </c>
      <c r="M36" s="0" t="n">
        <f aca="false">SUM(F$6:F36)</f>
        <v>7</v>
      </c>
      <c r="N36" s="0" t="n">
        <f aca="false">SUM(G$6:G36)</f>
        <v>7</v>
      </c>
      <c r="O36" s="0" t="n">
        <f aca="false">SUM(H$6:H36)</f>
        <v>8</v>
      </c>
      <c r="P36" s="0" t="n">
        <f aca="false">SUM(I$6:I36)</f>
        <v>7</v>
      </c>
      <c r="Q36" s="0" t="n">
        <f aca="false">SUM(J$6:J36)</f>
        <v>8</v>
      </c>
      <c r="R36" s="0" t="n">
        <f aca="false">SUM(K$6:K36)</f>
        <v>7</v>
      </c>
      <c r="S36" s="0" t="n">
        <f aca="false">SUM(L$6:L36)</f>
        <v>6</v>
      </c>
      <c r="T36" s="18" t="n">
        <f aca="false">IF(F36=0,0,IF(Inputs!$D53="Open",F$1,IF(Inputs!$D53="Close",ROUND(F$2*1440-F$3*60,0)/1440,IF(OR(INT((M36-1)/Inputs!$B$7)=0,(INT((M$3-1-MOD(M36-1,Inputs!$B$7))/Inputs!$B$7)+1)&lt;=1),F$1,IF(INT((M36-1)/Inputs!$B$7)&gt;=(INT((M$3-1-MOD(M36-1,Inputs!$B$7))/Inputs!$B$7)+1)-1,ROUND(F$2*1440-F$3*60,0)/1440,MAX(F$1,MIN(ROUND(F$2*1440-F$3*60,0)/1440,ROUND((F$1+INT((M36-1)/Inputs!$B$7)/((INT((M$3-1-MOD(M36-1,Inputs!$B$7))/Inputs!$B$7)+1)-1)*((ROUND(F$2*1440-F$3*60,0)/1440)-F$1))*96,0)/96)))))))</f>
        <v>0</v>
      </c>
      <c r="U36" s="18" t="n">
        <f aca="false">IF(G36=0,0,IF(Inputs!$D53="Open",G$1,IF(Inputs!$D53="Close",ROUND(G$2*1440-G$3*60,0)/1440,IF(OR(INT((N36-1)/Inputs!$B$7)=0,(INT((N$3-1-MOD(N36-1,Inputs!$B$7))/Inputs!$B$7)+1)&lt;=1),G$1,IF(INT((N36-1)/Inputs!$B$7)&gt;=(INT((N$3-1-MOD(N36-1,Inputs!$B$7))/Inputs!$B$7)+1)-1,ROUND(G$2*1440-G$3*60,0)/1440,MAX(G$1,MIN(ROUND(G$2*1440-G$3*60,0)/1440,ROUND((G$1+INT((N36-1)/Inputs!$B$7)/((INT((N$3-1-MOD(N36-1,Inputs!$B$7))/Inputs!$B$7)+1)-1)*((ROUND(G$2*1440-G$3*60,0)/1440)-G$1))*96,0)/96)))))))</f>
        <v>0</v>
      </c>
      <c r="V36" s="18" t="n">
        <f aca="false">IF(H36=0,0,IF(Inputs!$D53="Open",H$1,IF(Inputs!$D53="Close",ROUND(H$2*1440-H$3*60,0)/1440,IF(OR(INT((O36-1)/Inputs!$B$7)=0,(INT((O$3-1-MOD(O36-1,Inputs!$B$7))/Inputs!$B$7)+1)&lt;=1),H$1,IF(INT((O36-1)/Inputs!$B$7)&gt;=(INT((O$3-1-MOD(O36-1,Inputs!$B$7))/Inputs!$B$7)+1)-1,ROUND(H$2*1440-H$3*60,0)/1440,MAX(H$1,MIN(ROUND(H$2*1440-H$3*60,0)/1440,ROUND((H$1+INT((O36-1)/Inputs!$B$7)/((INT((O$3-1-MOD(O36-1,Inputs!$B$7))/Inputs!$B$7)+1)-1)*((ROUND(H$2*1440-H$3*60,0)/1440)-H$1))*96,0)/96)))))))</f>
        <v>0</v>
      </c>
      <c r="W36" s="18" t="n">
        <f aca="false">IF(I36=0,0,IF(Inputs!$D53="Open",I$1,IF(Inputs!$D53="Close",ROUND(I$2*1440-I$3*60,0)/1440,IF(OR(INT((P36-1)/Inputs!$B$7)=0,(INT((P$3-1-MOD(P36-1,Inputs!$B$7))/Inputs!$B$7)+1)&lt;=1),I$1,IF(INT((P36-1)/Inputs!$B$7)&gt;=(INT((P$3-1-MOD(P36-1,Inputs!$B$7))/Inputs!$B$7)+1)-1,ROUND(I$2*1440-I$3*60,0)/1440,MAX(I$1,MIN(ROUND(I$2*1440-I$3*60,0)/1440,ROUND((I$1+INT((P36-1)/Inputs!$B$7)/((INT((P$3-1-MOD(P36-1,Inputs!$B$7))/Inputs!$B$7)+1)-1)*((ROUND(I$2*1440-I$3*60,0)/1440)-I$1))*96,0)/96)))))))</f>
        <v>0</v>
      </c>
      <c r="X36" s="18" t="n">
        <f aca="false">IF(J36=0,0,IF(Inputs!$D53="Open",J$1,IF(Inputs!$D53="Close",ROUND(J$2*1440-J$3*60,0)/1440,IF(OR(INT((Q36-1)/Inputs!$B$7)=0,(INT((Q$3-1-MOD(Q36-1,Inputs!$B$7))/Inputs!$B$7)+1)&lt;=1),J$1,IF(INT((Q36-1)/Inputs!$B$7)&gt;=(INT((Q$3-1-MOD(Q36-1,Inputs!$B$7))/Inputs!$B$7)+1)-1,ROUND(J$2*1440-J$3*60,0)/1440,MAX(J$1,MIN(ROUND(J$2*1440-J$3*60,0)/1440,ROUND((J$1+INT((Q36-1)/Inputs!$B$7)/((INT((Q$3-1-MOD(Q36-1,Inputs!$B$7))/Inputs!$B$7)+1)-1)*((ROUND(J$2*1440-J$3*60,0)/1440)-J$1))*96,0)/96)))))))</f>
        <v>0</v>
      </c>
      <c r="Y36" s="18" t="n">
        <f aca="false">IF(K36=0,0,IF(Inputs!$D53="Open",K$1,IF(Inputs!$D53="Close",ROUND(K$2*1440-K$3*60,0)/1440,IF(OR(INT((R36-1)/Inputs!$B$7)=0,(INT((R$3-1-MOD(R36-1,Inputs!$B$7))/Inputs!$B$7)+1)&lt;=1),K$1,IF(INT((R36-1)/Inputs!$B$7)&gt;=(INT((R$3-1-MOD(R36-1,Inputs!$B$7))/Inputs!$B$7)+1)-1,ROUND(K$2*1440-K$3*60,0)/1440,MAX(K$1,MIN(ROUND(K$2*1440-K$3*60,0)/1440,ROUND((K$1+INT((R36-1)/Inputs!$B$7)/((INT((R$3-1-MOD(R36-1,Inputs!$B$7))/Inputs!$B$7)+1)-1)*((ROUND(K$2*1440-K$3*60,0)/1440)-K$1))*96,0)/96)))))))</f>
        <v>0</v>
      </c>
      <c r="Z36" s="18" t="n">
        <f aca="false">IF(L36=0,0,IF(Inputs!$D53="Open",L$1,IF(Inputs!$D53="Close",ROUND(L$2*1440-L$3*60,0)/1440,IF(OR(INT((S36-1)/Inputs!$B$7)=0,(INT((S$3-1-MOD(S36-1,Inputs!$B$7))/Inputs!$B$7)+1)&lt;=1),L$1,IF(INT((S36-1)/Inputs!$B$7)&gt;=(INT((S$3-1-MOD(S36-1,Inputs!$B$7))/Inputs!$B$7)+1)-1,ROUND(L$2*1440-L$3*60,0)/1440,MAX(L$1,MIN(ROUND(L$2*1440-L$3*60,0)/1440,ROUND((L$1+INT((S36-1)/Inputs!$B$7)/((INT((S$3-1-MOD(S36-1,Inputs!$B$7))/Inputs!$B$7)+1)-1)*((ROUND(L$2*1440-L$3*60,0)/1440)-L$1))*96,0)/96)))))))</f>
        <v>0</v>
      </c>
      <c r="AA36" s="18" t="n">
        <f aca="false">IF(F36=0,0,ROUND(T36*1440+F$3*60,0)/1440)</f>
        <v>0</v>
      </c>
      <c r="AB36" s="18" t="n">
        <f aca="false">IF(G36=0,0,ROUND(U36*1440+G$3*60,0)/1440)</f>
        <v>0</v>
      </c>
      <c r="AC36" s="18" t="n">
        <f aca="false">IF(H36=0,0,ROUND(V36*1440+H$3*60,0)/1440)</f>
        <v>0</v>
      </c>
      <c r="AD36" s="18" t="n">
        <f aca="false">IF(I36=0,0,ROUND(W36*1440+I$3*60,0)/1440)</f>
        <v>0</v>
      </c>
      <c r="AE36" s="18" t="n">
        <f aca="false">IF(J36=0,0,ROUND(X36*1440+J$3*60,0)/1440)</f>
        <v>0</v>
      </c>
      <c r="AF36" s="18" t="n">
        <f aca="false">IF(K36=0,0,ROUND(Y36*1440+K$3*60,0)/1440)</f>
        <v>0</v>
      </c>
      <c r="AG36" s="18" t="n">
        <f aca="false">IF(L36=0,0,ROUND(Z36*1440+L$3*60,0)/1440)</f>
        <v>0</v>
      </c>
      <c r="AH36" s="19" t="n">
        <f aca="false">SUMPRODUCT((MOD(AO$1:AU$1-0,7)&lt;Inputs!$B$6)*AO$2:AU$2*(AO35:AU35+1))*100+MOD(0-5,7)</f>
        <v>1602</v>
      </c>
      <c r="AI36" s="19" t="n">
        <f aca="false">SUMPRODUCT((MOD(AO$1:AU$1-1,7)&lt;Inputs!$B$6)*AO$2:AU$2*(AO35:AU35+1))*100+MOD(1-5,7)</f>
        <v>1403</v>
      </c>
      <c r="AJ36" s="19" t="n">
        <f aca="false">SUMPRODUCT((MOD(AO$1:AU$1-2,7)&lt;Inputs!$B$6)*AO$2:AU$2*(AO35:AU35+1))*100+MOD(2-5,7)</f>
        <v>1404</v>
      </c>
      <c r="AK36" s="19" t="n">
        <f aca="false">SUMPRODUCT((MOD(AO$1:AU$1-3,7)&lt;Inputs!$B$6)*AO$2:AU$2*(AO35:AU35+1))*100+MOD(3-5,7)</f>
        <v>1405</v>
      </c>
      <c r="AL36" s="19" t="n">
        <f aca="false">SUMPRODUCT((MOD(AO$1:AU$1-4,7)&lt;Inputs!$B$6)*AO$2:AU$2*(AO35:AU35+1))*100+MOD(4-5,7)</f>
        <v>1406</v>
      </c>
      <c r="AM36" s="19" t="n">
        <f aca="false">SUMPRODUCT((MOD(AO$1:AU$1-5,7)&lt;Inputs!$B$6)*AO$2:AU$2*(AO35:AU35+1))*100+MOD(5-5,7)</f>
        <v>1800</v>
      </c>
      <c r="AN36" s="19" t="n">
        <f aca="false">SUMPRODUCT((MOD(AO$1:AU$1-6,7)&lt;Inputs!$B$6)*AO$2:AU$2*(AO35:AU35+1))*100+MOD(6-5,7)</f>
        <v>1801</v>
      </c>
      <c r="AO36" s="19" t="n">
        <f aca="false">AO35+IF($B36=1,IF(MOD(0-$D36,7)&lt;Inputs!$B$6,1,0),0)</f>
        <v>3</v>
      </c>
      <c r="AP36" s="19" t="n">
        <f aca="false">AP35+IF($B36=1,IF(MOD(1-$D36,7)&lt;Inputs!$B$6,1,0),0)</f>
        <v>3</v>
      </c>
      <c r="AQ36" s="19" t="n">
        <f aca="false">AQ35+IF($B36=1,IF(MOD(2-$D36,7)&lt;Inputs!$B$6,1,0),0)</f>
        <v>2</v>
      </c>
      <c r="AR36" s="19" t="n">
        <f aca="false">AR35+IF($B36=1,IF(MOD(3-$D36,7)&lt;Inputs!$B$6,1,0),0)</f>
        <v>3</v>
      </c>
      <c r="AS36" s="19" t="n">
        <f aca="false">AS35+IF($B36=1,IF(MOD(4-$D36,7)&lt;Inputs!$B$6,1,0),0)</f>
        <v>2</v>
      </c>
      <c r="AT36" s="19" t="n">
        <f aca="false">AT35+IF($B36=1,IF(MOD(5-$D36,7)&lt;Inputs!$B$6,1,0),0)</f>
        <v>3</v>
      </c>
      <c r="AU36" s="19" t="n">
        <f aca="false">AU35+IF($B36=1,IF(MOD(6-$D36,7)&lt;Inputs!$B$6,1,0),0)</f>
        <v>4</v>
      </c>
    </row>
    <row r="37" customFormat="false" ht="15" hidden="false" customHeight="false" outlineLevel="0" collapsed="false">
      <c r="A37" s="0" t="n">
        <v>32</v>
      </c>
      <c r="B37" s="0" t="n">
        <f aca="false">IF(A37&lt;=Inputs!$B$3,1,0)</f>
        <v>0</v>
      </c>
      <c r="C37" s="0" t="n">
        <f aca="false">MOD(5+MOD(A37-1,7),7)</f>
        <v>1</v>
      </c>
      <c r="D37" s="0" t="n">
        <f aca="false">IF(Inputs!C54&lt;&gt;"",MATCH(Inputs!C54,Inputs!$A$11:$A$17,0)-1,IF(B37=0,0,MATCH(MIN(AH37:AN37),AH37:AN37,0)-1))</f>
        <v>0</v>
      </c>
      <c r="F37" s="0" t="n">
        <f aca="false">IF(OR($B37=0,F$3=0),0,IF(MOD(0-$D37,7)&lt;Inputs!$B$6,0,1))</f>
        <v>0</v>
      </c>
      <c r="G37" s="0" t="n">
        <f aca="false">IF(OR($B37=0,G$3=0),0,IF(MOD(1-$D37,7)&lt;Inputs!$B$6,0,1))</f>
        <v>0</v>
      </c>
      <c r="H37" s="0" t="n">
        <f aca="false">IF(OR($B37=0,H$3=0),0,IF(MOD(2-$D37,7)&lt;Inputs!$B$6,0,1))</f>
        <v>0</v>
      </c>
      <c r="I37" s="0" t="n">
        <f aca="false">IF(OR($B37=0,I$3=0),0,IF(MOD(3-$D37,7)&lt;Inputs!$B$6,0,1))</f>
        <v>0</v>
      </c>
      <c r="J37" s="0" t="n">
        <f aca="false">IF(OR($B37=0,J$3=0),0,IF(MOD(4-$D37,7)&lt;Inputs!$B$6,0,1))</f>
        <v>0</v>
      </c>
      <c r="K37" s="0" t="n">
        <f aca="false">IF(OR($B37=0,K$3=0),0,IF(MOD(5-$D37,7)&lt;Inputs!$B$6,0,1))</f>
        <v>0</v>
      </c>
      <c r="L37" s="0" t="n">
        <f aca="false">IF(OR($B37=0,L$3=0),0,IF(MOD(6-$D37,7)&lt;Inputs!$B$6,0,1))</f>
        <v>0</v>
      </c>
      <c r="M37" s="0" t="n">
        <f aca="false">SUM(F$6:F37)</f>
        <v>7</v>
      </c>
      <c r="N37" s="0" t="n">
        <f aca="false">SUM(G$6:G37)</f>
        <v>7</v>
      </c>
      <c r="O37" s="0" t="n">
        <f aca="false">SUM(H$6:H37)</f>
        <v>8</v>
      </c>
      <c r="P37" s="0" t="n">
        <f aca="false">SUM(I$6:I37)</f>
        <v>7</v>
      </c>
      <c r="Q37" s="0" t="n">
        <f aca="false">SUM(J$6:J37)</f>
        <v>8</v>
      </c>
      <c r="R37" s="0" t="n">
        <f aca="false">SUM(K$6:K37)</f>
        <v>7</v>
      </c>
      <c r="S37" s="0" t="n">
        <f aca="false">SUM(L$6:L37)</f>
        <v>6</v>
      </c>
      <c r="T37" s="18" t="n">
        <f aca="false">IF(F37=0,0,IF(Inputs!$D54="Open",F$1,IF(Inputs!$D54="Close",ROUND(F$2*1440-F$3*60,0)/1440,IF(OR(INT((M37-1)/Inputs!$B$7)=0,(INT((M$3-1-MOD(M37-1,Inputs!$B$7))/Inputs!$B$7)+1)&lt;=1),F$1,IF(INT((M37-1)/Inputs!$B$7)&gt;=(INT((M$3-1-MOD(M37-1,Inputs!$B$7))/Inputs!$B$7)+1)-1,ROUND(F$2*1440-F$3*60,0)/1440,MAX(F$1,MIN(ROUND(F$2*1440-F$3*60,0)/1440,ROUND((F$1+INT((M37-1)/Inputs!$B$7)/((INT((M$3-1-MOD(M37-1,Inputs!$B$7))/Inputs!$B$7)+1)-1)*((ROUND(F$2*1440-F$3*60,0)/1440)-F$1))*96,0)/96)))))))</f>
        <v>0</v>
      </c>
      <c r="U37" s="18" t="n">
        <f aca="false">IF(G37=0,0,IF(Inputs!$D54="Open",G$1,IF(Inputs!$D54="Close",ROUND(G$2*1440-G$3*60,0)/1440,IF(OR(INT((N37-1)/Inputs!$B$7)=0,(INT((N$3-1-MOD(N37-1,Inputs!$B$7))/Inputs!$B$7)+1)&lt;=1),G$1,IF(INT((N37-1)/Inputs!$B$7)&gt;=(INT((N$3-1-MOD(N37-1,Inputs!$B$7))/Inputs!$B$7)+1)-1,ROUND(G$2*1440-G$3*60,0)/1440,MAX(G$1,MIN(ROUND(G$2*1440-G$3*60,0)/1440,ROUND((G$1+INT((N37-1)/Inputs!$B$7)/((INT((N$3-1-MOD(N37-1,Inputs!$B$7))/Inputs!$B$7)+1)-1)*((ROUND(G$2*1440-G$3*60,0)/1440)-G$1))*96,0)/96)))))))</f>
        <v>0</v>
      </c>
      <c r="V37" s="18" t="n">
        <f aca="false">IF(H37=0,0,IF(Inputs!$D54="Open",H$1,IF(Inputs!$D54="Close",ROUND(H$2*1440-H$3*60,0)/1440,IF(OR(INT((O37-1)/Inputs!$B$7)=0,(INT((O$3-1-MOD(O37-1,Inputs!$B$7))/Inputs!$B$7)+1)&lt;=1),H$1,IF(INT((O37-1)/Inputs!$B$7)&gt;=(INT((O$3-1-MOD(O37-1,Inputs!$B$7))/Inputs!$B$7)+1)-1,ROUND(H$2*1440-H$3*60,0)/1440,MAX(H$1,MIN(ROUND(H$2*1440-H$3*60,0)/1440,ROUND((H$1+INT((O37-1)/Inputs!$B$7)/((INT((O$3-1-MOD(O37-1,Inputs!$B$7))/Inputs!$B$7)+1)-1)*((ROUND(H$2*1440-H$3*60,0)/1440)-H$1))*96,0)/96)))))))</f>
        <v>0</v>
      </c>
      <c r="W37" s="18" t="n">
        <f aca="false">IF(I37=0,0,IF(Inputs!$D54="Open",I$1,IF(Inputs!$D54="Close",ROUND(I$2*1440-I$3*60,0)/1440,IF(OR(INT((P37-1)/Inputs!$B$7)=0,(INT((P$3-1-MOD(P37-1,Inputs!$B$7))/Inputs!$B$7)+1)&lt;=1),I$1,IF(INT((P37-1)/Inputs!$B$7)&gt;=(INT((P$3-1-MOD(P37-1,Inputs!$B$7))/Inputs!$B$7)+1)-1,ROUND(I$2*1440-I$3*60,0)/1440,MAX(I$1,MIN(ROUND(I$2*1440-I$3*60,0)/1440,ROUND((I$1+INT((P37-1)/Inputs!$B$7)/((INT((P$3-1-MOD(P37-1,Inputs!$B$7))/Inputs!$B$7)+1)-1)*((ROUND(I$2*1440-I$3*60,0)/1440)-I$1))*96,0)/96)))))))</f>
        <v>0</v>
      </c>
      <c r="X37" s="18" t="n">
        <f aca="false">IF(J37=0,0,IF(Inputs!$D54="Open",J$1,IF(Inputs!$D54="Close",ROUND(J$2*1440-J$3*60,0)/1440,IF(OR(INT((Q37-1)/Inputs!$B$7)=0,(INT((Q$3-1-MOD(Q37-1,Inputs!$B$7))/Inputs!$B$7)+1)&lt;=1),J$1,IF(INT((Q37-1)/Inputs!$B$7)&gt;=(INT((Q$3-1-MOD(Q37-1,Inputs!$B$7))/Inputs!$B$7)+1)-1,ROUND(J$2*1440-J$3*60,0)/1440,MAX(J$1,MIN(ROUND(J$2*1440-J$3*60,0)/1440,ROUND((J$1+INT((Q37-1)/Inputs!$B$7)/((INT((Q$3-1-MOD(Q37-1,Inputs!$B$7))/Inputs!$B$7)+1)-1)*((ROUND(J$2*1440-J$3*60,0)/1440)-J$1))*96,0)/96)))))))</f>
        <v>0</v>
      </c>
      <c r="Y37" s="18" t="n">
        <f aca="false">IF(K37=0,0,IF(Inputs!$D54="Open",K$1,IF(Inputs!$D54="Close",ROUND(K$2*1440-K$3*60,0)/1440,IF(OR(INT((R37-1)/Inputs!$B$7)=0,(INT((R$3-1-MOD(R37-1,Inputs!$B$7))/Inputs!$B$7)+1)&lt;=1),K$1,IF(INT((R37-1)/Inputs!$B$7)&gt;=(INT((R$3-1-MOD(R37-1,Inputs!$B$7))/Inputs!$B$7)+1)-1,ROUND(K$2*1440-K$3*60,0)/1440,MAX(K$1,MIN(ROUND(K$2*1440-K$3*60,0)/1440,ROUND((K$1+INT((R37-1)/Inputs!$B$7)/((INT((R$3-1-MOD(R37-1,Inputs!$B$7))/Inputs!$B$7)+1)-1)*((ROUND(K$2*1440-K$3*60,0)/1440)-K$1))*96,0)/96)))))))</f>
        <v>0</v>
      </c>
      <c r="Z37" s="18" t="n">
        <f aca="false">IF(L37=0,0,IF(Inputs!$D54="Open",L$1,IF(Inputs!$D54="Close",ROUND(L$2*1440-L$3*60,0)/1440,IF(OR(INT((S37-1)/Inputs!$B$7)=0,(INT((S$3-1-MOD(S37-1,Inputs!$B$7))/Inputs!$B$7)+1)&lt;=1),L$1,IF(INT((S37-1)/Inputs!$B$7)&gt;=(INT((S$3-1-MOD(S37-1,Inputs!$B$7))/Inputs!$B$7)+1)-1,ROUND(L$2*1440-L$3*60,0)/1440,MAX(L$1,MIN(ROUND(L$2*1440-L$3*60,0)/1440,ROUND((L$1+INT((S37-1)/Inputs!$B$7)/((INT((S$3-1-MOD(S37-1,Inputs!$B$7))/Inputs!$B$7)+1)-1)*((ROUND(L$2*1440-L$3*60,0)/1440)-L$1))*96,0)/96)))))))</f>
        <v>0</v>
      </c>
      <c r="AA37" s="18" t="n">
        <f aca="false">IF(F37=0,0,ROUND(T37*1440+F$3*60,0)/1440)</f>
        <v>0</v>
      </c>
      <c r="AB37" s="18" t="n">
        <f aca="false">IF(G37=0,0,ROUND(U37*1440+G$3*60,0)/1440)</f>
        <v>0</v>
      </c>
      <c r="AC37" s="18" t="n">
        <f aca="false">IF(H37=0,0,ROUND(V37*1440+H$3*60,0)/1440)</f>
        <v>0</v>
      </c>
      <c r="AD37" s="18" t="n">
        <f aca="false">IF(I37=0,0,ROUND(W37*1440+I$3*60,0)/1440)</f>
        <v>0</v>
      </c>
      <c r="AE37" s="18" t="n">
        <f aca="false">IF(J37=0,0,ROUND(X37*1440+J$3*60,0)/1440)</f>
        <v>0</v>
      </c>
      <c r="AF37" s="18" t="n">
        <f aca="false">IF(K37=0,0,ROUND(Y37*1440+K$3*60,0)/1440)</f>
        <v>0</v>
      </c>
      <c r="AG37" s="18" t="n">
        <f aca="false">IF(L37=0,0,ROUND(Z37*1440+L$3*60,0)/1440)</f>
        <v>0</v>
      </c>
      <c r="AH37" s="19" t="n">
        <f aca="false">SUMPRODUCT((MOD(AO$1:AU$1-0,7)&lt;Inputs!$B$6)*AO$2:AU$2*(AO36:AU36+1))*100+MOD(0-5,7)</f>
        <v>1602</v>
      </c>
      <c r="AI37" s="19" t="n">
        <f aca="false">SUMPRODUCT((MOD(AO$1:AU$1-1,7)&lt;Inputs!$B$6)*AO$2:AU$2*(AO36:AU36+1))*100+MOD(1-5,7)</f>
        <v>1403</v>
      </c>
      <c r="AJ37" s="19" t="n">
        <f aca="false">SUMPRODUCT((MOD(AO$1:AU$1-2,7)&lt;Inputs!$B$6)*AO$2:AU$2*(AO36:AU36+1))*100+MOD(2-5,7)</f>
        <v>1404</v>
      </c>
      <c r="AK37" s="19" t="n">
        <f aca="false">SUMPRODUCT((MOD(AO$1:AU$1-3,7)&lt;Inputs!$B$6)*AO$2:AU$2*(AO36:AU36+1))*100+MOD(3-5,7)</f>
        <v>1405</v>
      </c>
      <c r="AL37" s="19" t="n">
        <f aca="false">SUMPRODUCT((MOD(AO$1:AU$1-4,7)&lt;Inputs!$B$6)*AO$2:AU$2*(AO36:AU36+1))*100+MOD(4-5,7)</f>
        <v>1406</v>
      </c>
      <c r="AM37" s="19" t="n">
        <f aca="false">SUMPRODUCT((MOD(AO$1:AU$1-5,7)&lt;Inputs!$B$6)*AO$2:AU$2*(AO36:AU36+1))*100+MOD(5-5,7)</f>
        <v>1800</v>
      </c>
      <c r="AN37" s="19" t="n">
        <f aca="false">SUMPRODUCT((MOD(AO$1:AU$1-6,7)&lt;Inputs!$B$6)*AO$2:AU$2*(AO36:AU36+1))*100+MOD(6-5,7)</f>
        <v>1801</v>
      </c>
      <c r="AO37" s="19" t="n">
        <f aca="false">AO36+IF($B37=1,IF(MOD(0-$D37,7)&lt;Inputs!$B$6,1,0),0)</f>
        <v>3</v>
      </c>
      <c r="AP37" s="19" t="n">
        <f aca="false">AP36+IF($B37=1,IF(MOD(1-$D37,7)&lt;Inputs!$B$6,1,0),0)</f>
        <v>3</v>
      </c>
      <c r="AQ37" s="19" t="n">
        <f aca="false">AQ36+IF($B37=1,IF(MOD(2-$D37,7)&lt;Inputs!$B$6,1,0),0)</f>
        <v>2</v>
      </c>
      <c r="AR37" s="19" t="n">
        <f aca="false">AR36+IF($B37=1,IF(MOD(3-$D37,7)&lt;Inputs!$B$6,1,0),0)</f>
        <v>3</v>
      </c>
      <c r="AS37" s="19" t="n">
        <f aca="false">AS36+IF($B37=1,IF(MOD(4-$D37,7)&lt;Inputs!$B$6,1,0),0)</f>
        <v>2</v>
      </c>
      <c r="AT37" s="19" t="n">
        <f aca="false">AT36+IF($B37=1,IF(MOD(5-$D37,7)&lt;Inputs!$B$6,1,0),0)</f>
        <v>3</v>
      </c>
      <c r="AU37" s="19" t="n">
        <f aca="false">AU36+IF($B37=1,IF(MOD(6-$D37,7)&lt;Inputs!$B$6,1,0),0)</f>
        <v>4</v>
      </c>
    </row>
    <row r="38" customFormat="false" ht="15" hidden="false" customHeight="false" outlineLevel="0" collapsed="false">
      <c r="A38" s="0" t="n">
        <v>33</v>
      </c>
      <c r="B38" s="0" t="n">
        <f aca="false">IF(A38&lt;=Inputs!$B$3,1,0)</f>
        <v>0</v>
      </c>
      <c r="C38" s="0" t="n">
        <f aca="false">MOD(5+MOD(A38-1,7),7)</f>
        <v>2</v>
      </c>
      <c r="D38" s="0" t="n">
        <f aca="false">IF(Inputs!C55&lt;&gt;"",MATCH(Inputs!C55,Inputs!$A$11:$A$17,0)-1,IF(B38=0,0,MATCH(MIN(AH38:AN38),AH38:AN38,0)-1))</f>
        <v>0</v>
      </c>
      <c r="F38" s="0" t="n">
        <f aca="false">IF(OR($B38=0,F$3=0),0,IF(MOD(0-$D38,7)&lt;Inputs!$B$6,0,1))</f>
        <v>0</v>
      </c>
      <c r="G38" s="0" t="n">
        <f aca="false">IF(OR($B38=0,G$3=0),0,IF(MOD(1-$D38,7)&lt;Inputs!$B$6,0,1))</f>
        <v>0</v>
      </c>
      <c r="H38" s="0" t="n">
        <f aca="false">IF(OR($B38=0,H$3=0),0,IF(MOD(2-$D38,7)&lt;Inputs!$B$6,0,1))</f>
        <v>0</v>
      </c>
      <c r="I38" s="0" t="n">
        <f aca="false">IF(OR($B38=0,I$3=0),0,IF(MOD(3-$D38,7)&lt;Inputs!$B$6,0,1))</f>
        <v>0</v>
      </c>
      <c r="J38" s="0" t="n">
        <f aca="false">IF(OR($B38=0,J$3=0),0,IF(MOD(4-$D38,7)&lt;Inputs!$B$6,0,1))</f>
        <v>0</v>
      </c>
      <c r="K38" s="0" t="n">
        <f aca="false">IF(OR($B38=0,K$3=0),0,IF(MOD(5-$D38,7)&lt;Inputs!$B$6,0,1))</f>
        <v>0</v>
      </c>
      <c r="L38" s="0" t="n">
        <f aca="false">IF(OR($B38=0,L$3=0),0,IF(MOD(6-$D38,7)&lt;Inputs!$B$6,0,1))</f>
        <v>0</v>
      </c>
      <c r="M38" s="0" t="n">
        <f aca="false">SUM(F$6:F38)</f>
        <v>7</v>
      </c>
      <c r="N38" s="0" t="n">
        <f aca="false">SUM(G$6:G38)</f>
        <v>7</v>
      </c>
      <c r="O38" s="0" t="n">
        <f aca="false">SUM(H$6:H38)</f>
        <v>8</v>
      </c>
      <c r="P38" s="0" t="n">
        <f aca="false">SUM(I$6:I38)</f>
        <v>7</v>
      </c>
      <c r="Q38" s="0" t="n">
        <f aca="false">SUM(J$6:J38)</f>
        <v>8</v>
      </c>
      <c r="R38" s="0" t="n">
        <f aca="false">SUM(K$6:K38)</f>
        <v>7</v>
      </c>
      <c r="S38" s="0" t="n">
        <f aca="false">SUM(L$6:L38)</f>
        <v>6</v>
      </c>
      <c r="T38" s="18" t="n">
        <f aca="false">IF(F38=0,0,IF(Inputs!$D55="Open",F$1,IF(Inputs!$D55="Close",ROUND(F$2*1440-F$3*60,0)/1440,IF(OR(INT((M38-1)/Inputs!$B$7)=0,(INT((M$3-1-MOD(M38-1,Inputs!$B$7))/Inputs!$B$7)+1)&lt;=1),F$1,IF(INT((M38-1)/Inputs!$B$7)&gt;=(INT((M$3-1-MOD(M38-1,Inputs!$B$7))/Inputs!$B$7)+1)-1,ROUND(F$2*1440-F$3*60,0)/1440,MAX(F$1,MIN(ROUND(F$2*1440-F$3*60,0)/1440,ROUND((F$1+INT((M38-1)/Inputs!$B$7)/((INT((M$3-1-MOD(M38-1,Inputs!$B$7))/Inputs!$B$7)+1)-1)*((ROUND(F$2*1440-F$3*60,0)/1440)-F$1))*96,0)/96)))))))</f>
        <v>0</v>
      </c>
      <c r="U38" s="18" t="n">
        <f aca="false">IF(G38=0,0,IF(Inputs!$D55="Open",G$1,IF(Inputs!$D55="Close",ROUND(G$2*1440-G$3*60,0)/1440,IF(OR(INT((N38-1)/Inputs!$B$7)=0,(INT((N$3-1-MOD(N38-1,Inputs!$B$7))/Inputs!$B$7)+1)&lt;=1),G$1,IF(INT((N38-1)/Inputs!$B$7)&gt;=(INT((N$3-1-MOD(N38-1,Inputs!$B$7))/Inputs!$B$7)+1)-1,ROUND(G$2*1440-G$3*60,0)/1440,MAX(G$1,MIN(ROUND(G$2*1440-G$3*60,0)/1440,ROUND((G$1+INT((N38-1)/Inputs!$B$7)/((INT((N$3-1-MOD(N38-1,Inputs!$B$7))/Inputs!$B$7)+1)-1)*((ROUND(G$2*1440-G$3*60,0)/1440)-G$1))*96,0)/96)))))))</f>
        <v>0</v>
      </c>
      <c r="V38" s="18" t="n">
        <f aca="false">IF(H38=0,0,IF(Inputs!$D55="Open",H$1,IF(Inputs!$D55="Close",ROUND(H$2*1440-H$3*60,0)/1440,IF(OR(INT((O38-1)/Inputs!$B$7)=0,(INT((O$3-1-MOD(O38-1,Inputs!$B$7))/Inputs!$B$7)+1)&lt;=1),H$1,IF(INT((O38-1)/Inputs!$B$7)&gt;=(INT((O$3-1-MOD(O38-1,Inputs!$B$7))/Inputs!$B$7)+1)-1,ROUND(H$2*1440-H$3*60,0)/1440,MAX(H$1,MIN(ROUND(H$2*1440-H$3*60,0)/1440,ROUND((H$1+INT((O38-1)/Inputs!$B$7)/((INT((O$3-1-MOD(O38-1,Inputs!$B$7))/Inputs!$B$7)+1)-1)*((ROUND(H$2*1440-H$3*60,0)/1440)-H$1))*96,0)/96)))))))</f>
        <v>0</v>
      </c>
      <c r="W38" s="18" t="n">
        <f aca="false">IF(I38=0,0,IF(Inputs!$D55="Open",I$1,IF(Inputs!$D55="Close",ROUND(I$2*1440-I$3*60,0)/1440,IF(OR(INT((P38-1)/Inputs!$B$7)=0,(INT((P$3-1-MOD(P38-1,Inputs!$B$7))/Inputs!$B$7)+1)&lt;=1),I$1,IF(INT((P38-1)/Inputs!$B$7)&gt;=(INT((P$3-1-MOD(P38-1,Inputs!$B$7))/Inputs!$B$7)+1)-1,ROUND(I$2*1440-I$3*60,0)/1440,MAX(I$1,MIN(ROUND(I$2*1440-I$3*60,0)/1440,ROUND((I$1+INT((P38-1)/Inputs!$B$7)/((INT((P$3-1-MOD(P38-1,Inputs!$B$7))/Inputs!$B$7)+1)-1)*((ROUND(I$2*1440-I$3*60,0)/1440)-I$1))*96,0)/96)))))))</f>
        <v>0</v>
      </c>
      <c r="X38" s="18" t="n">
        <f aca="false">IF(J38=0,0,IF(Inputs!$D55="Open",J$1,IF(Inputs!$D55="Close",ROUND(J$2*1440-J$3*60,0)/1440,IF(OR(INT((Q38-1)/Inputs!$B$7)=0,(INT((Q$3-1-MOD(Q38-1,Inputs!$B$7))/Inputs!$B$7)+1)&lt;=1),J$1,IF(INT((Q38-1)/Inputs!$B$7)&gt;=(INT((Q$3-1-MOD(Q38-1,Inputs!$B$7))/Inputs!$B$7)+1)-1,ROUND(J$2*1440-J$3*60,0)/1440,MAX(J$1,MIN(ROUND(J$2*1440-J$3*60,0)/1440,ROUND((J$1+INT((Q38-1)/Inputs!$B$7)/((INT((Q$3-1-MOD(Q38-1,Inputs!$B$7))/Inputs!$B$7)+1)-1)*((ROUND(J$2*1440-J$3*60,0)/1440)-J$1))*96,0)/96)))))))</f>
        <v>0</v>
      </c>
      <c r="Y38" s="18" t="n">
        <f aca="false">IF(K38=0,0,IF(Inputs!$D55="Open",K$1,IF(Inputs!$D55="Close",ROUND(K$2*1440-K$3*60,0)/1440,IF(OR(INT((R38-1)/Inputs!$B$7)=0,(INT((R$3-1-MOD(R38-1,Inputs!$B$7))/Inputs!$B$7)+1)&lt;=1),K$1,IF(INT((R38-1)/Inputs!$B$7)&gt;=(INT((R$3-1-MOD(R38-1,Inputs!$B$7))/Inputs!$B$7)+1)-1,ROUND(K$2*1440-K$3*60,0)/1440,MAX(K$1,MIN(ROUND(K$2*1440-K$3*60,0)/1440,ROUND((K$1+INT((R38-1)/Inputs!$B$7)/((INT((R$3-1-MOD(R38-1,Inputs!$B$7))/Inputs!$B$7)+1)-1)*((ROUND(K$2*1440-K$3*60,0)/1440)-K$1))*96,0)/96)))))))</f>
        <v>0</v>
      </c>
      <c r="Z38" s="18" t="n">
        <f aca="false">IF(L38=0,0,IF(Inputs!$D55="Open",L$1,IF(Inputs!$D55="Close",ROUND(L$2*1440-L$3*60,0)/1440,IF(OR(INT((S38-1)/Inputs!$B$7)=0,(INT((S$3-1-MOD(S38-1,Inputs!$B$7))/Inputs!$B$7)+1)&lt;=1),L$1,IF(INT((S38-1)/Inputs!$B$7)&gt;=(INT((S$3-1-MOD(S38-1,Inputs!$B$7))/Inputs!$B$7)+1)-1,ROUND(L$2*1440-L$3*60,0)/1440,MAX(L$1,MIN(ROUND(L$2*1440-L$3*60,0)/1440,ROUND((L$1+INT((S38-1)/Inputs!$B$7)/((INT((S$3-1-MOD(S38-1,Inputs!$B$7))/Inputs!$B$7)+1)-1)*((ROUND(L$2*1440-L$3*60,0)/1440)-L$1))*96,0)/96)))))))</f>
        <v>0</v>
      </c>
      <c r="AA38" s="18" t="n">
        <f aca="false">IF(F38=0,0,ROUND(T38*1440+F$3*60,0)/1440)</f>
        <v>0</v>
      </c>
      <c r="AB38" s="18" t="n">
        <f aca="false">IF(G38=0,0,ROUND(U38*1440+G$3*60,0)/1440)</f>
        <v>0</v>
      </c>
      <c r="AC38" s="18" t="n">
        <f aca="false">IF(H38=0,0,ROUND(V38*1440+H$3*60,0)/1440)</f>
        <v>0</v>
      </c>
      <c r="AD38" s="18" t="n">
        <f aca="false">IF(I38=0,0,ROUND(W38*1440+I$3*60,0)/1440)</f>
        <v>0</v>
      </c>
      <c r="AE38" s="18" t="n">
        <f aca="false">IF(J38=0,0,ROUND(X38*1440+J$3*60,0)/1440)</f>
        <v>0</v>
      </c>
      <c r="AF38" s="18" t="n">
        <f aca="false">IF(K38=0,0,ROUND(Y38*1440+K$3*60,0)/1440)</f>
        <v>0</v>
      </c>
      <c r="AG38" s="18" t="n">
        <f aca="false">IF(L38=0,0,ROUND(Z38*1440+L$3*60,0)/1440)</f>
        <v>0</v>
      </c>
      <c r="AH38" s="19" t="n">
        <f aca="false">SUMPRODUCT((MOD(AO$1:AU$1-0,7)&lt;Inputs!$B$6)*AO$2:AU$2*(AO37:AU37+1))*100+MOD(0-5,7)</f>
        <v>1602</v>
      </c>
      <c r="AI38" s="19" t="n">
        <f aca="false">SUMPRODUCT((MOD(AO$1:AU$1-1,7)&lt;Inputs!$B$6)*AO$2:AU$2*(AO37:AU37+1))*100+MOD(1-5,7)</f>
        <v>1403</v>
      </c>
      <c r="AJ38" s="19" t="n">
        <f aca="false">SUMPRODUCT((MOD(AO$1:AU$1-2,7)&lt;Inputs!$B$6)*AO$2:AU$2*(AO37:AU37+1))*100+MOD(2-5,7)</f>
        <v>1404</v>
      </c>
      <c r="AK38" s="19" t="n">
        <f aca="false">SUMPRODUCT((MOD(AO$1:AU$1-3,7)&lt;Inputs!$B$6)*AO$2:AU$2*(AO37:AU37+1))*100+MOD(3-5,7)</f>
        <v>1405</v>
      </c>
      <c r="AL38" s="19" t="n">
        <f aca="false">SUMPRODUCT((MOD(AO$1:AU$1-4,7)&lt;Inputs!$B$6)*AO$2:AU$2*(AO37:AU37+1))*100+MOD(4-5,7)</f>
        <v>1406</v>
      </c>
      <c r="AM38" s="19" t="n">
        <f aca="false">SUMPRODUCT((MOD(AO$1:AU$1-5,7)&lt;Inputs!$B$6)*AO$2:AU$2*(AO37:AU37+1))*100+MOD(5-5,7)</f>
        <v>1800</v>
      </c>
      <c r="AN38" s="19" t="n">
        <f aca="false">SUMPRODUCT((MOD(AO$1:AU$1-6,7)&lt;Inputs!$B$6)*AO$2:AU$2*(AO37:AU37+1))*100+MOD(6-5,7)</f>
        <v>1801</v>
      </c>
      <c r="AO38" s="19" t="n">
        <f aca="false">AO37+IF($B38=1,IF(MOD(0-$D38,7)&lt;Inputs!$B$6,1,0),0)</f>
        <v>3</v>
      </c>
      <c r="AP38" s="19" t="n">
        <f aca="false">AP37+IF($B38=1,IF(MOD(1-$D38,7)&lt;Inputs!$B$6,1,0),0)</f>
        <v>3</v>
      </c>
      <c r="AQ38" s="19" t="n">
        <f aca="false">AQ37+IF($B38=1,IF(MOD(2-$D38,7)&lt;Inputs!$B$6,1,0),0)</f>
        <v>2</v>
      </c>
      <c r="AR38" s="19" t="n">
        <f aca="false">AR37+IF($B38=1,IF(MOD(3-$D38,7)&lt;Inputs!$B$6,1,0),0)</f>
        <v>3</v>
      </c>
      <c r="AS38" s="19" t="n">
        <f aca="false">AS37+IF($B38=1,IF(MOD(4-$D38,7)&lt;Inputs!$B$6,1,0),0)</f>
        <v>2</v>
      </c>
      <c r="AT38" s="19" t="n">
        <f aca="false">AT37+IF($B38=1,IF(MOD(5-$D38,7)&lt;Inputs!$B$6,1,0),0)</f>
        <v>3</v>
      </c>
      <c r="AU38" s="19" t="n">
        <f aca="false">AU37+IF($B38=1,IF(MOD(6-$D38,7)&lt;Inputs!$B$6,1,0),0)</f>
        <v>4</v>
      </c>
    </row>
    <row r="39" customFormat="false" ht="15" hidden="false" customHeight="false" outlineLevel="0" collapsed="false">
      <c r="A39" s="0" t="n">
        <v>34</v>
      </c>
      <c r="B39" s="0" t="n">
        <f aca="false">IF(A39&lt;=Inputs!$B$3,1,0)</f>
        <v>0</v>
      </c>
      <c r="C39" s="0" t="n">
        <f aca="false">MOD(5+MOD(A39-1,7),7)</f>
        <v>3</v>
      </c>
      <c r="D39" s="0" t="n">
        <f aca="false">IF(Inputs!C56&lt;&gt;"",MATCH(Inputs!C56,Inputs!$A$11:$A$17,0)-1,IF(B39=0,0,MATCH(MIN(AH39:AN39),AH39:AN39,0)-1))</f>
        <v>0</v>
      </c>
      <c r="F39" s="0" t="n">
        <f aca="false">IF(OR($B39=0,F$3=0),0,IF(MOD(0-$D39,7)&lt;Inputs!$B$6,0,1))</f>
        <v>0</v>
      </c>
      <c r="G39" s="0" t="n">
        <f aca="false">IF(OR($B39=0,G$3=0),0,IF(MOD(1-$D39,7)&lt;Inputs!$B$6,0,1))</f>
        <v>0</v>
      </c>
      <c r="H39" s="0" t="n">
        <f aca="false">IF(OR($B39=0,H$3=0),0,IF(MOD(2-$D39,7)&lt;Inputs!$B$6,0,1))</f>
        <v>0</v>
      </c>
      <c r="I39" s="0" t="n">
        <f aca="false">IF(OR($B39=0,I$3=0),0,IF(MOD(3-$D39,7)&lt;Inputs!$B$6,0,1))</f>
        <v>0</v>
      </c>
      <c r="J39" s="0" t="n">
        <f aca="false">IF(OR($B39=0,J$3=0),0,IF(MOD(4-$D39,7)&lt;Inputs!$B$6,0,1))</f>
        <v>0</v>
      </c>
      <c r="K39" s="0" t="n">
        <f aca="false">IF(OR($B39=0,K$3=0),0,IF(MOD(5-$D39,7)&lt;Inputs!$B$6,0,1))</f>
        <v>0</v>
      </c>
      <c r="L39" s="0" t="n">
        <f aca="false">IF(OR($B39=0,L$3=0),0,IF(MOD(6-$D39,7)&lt;Inputs!$B$6,0,1))</f>
        <v>0</v>
      </c>
      <c r="M39" s="0" t="n">
        <f aca="false">SUM(F$6:F39)</f>
        <v>7</v>
      </c>
      <c r="N39" s="0" t="n">
        <f aca="false">SUM(G$6:G39)</f>
        <v>7</v>
      </c>
      <c r="O39" s="0" t="n">
        <f aca="false">SUM(H$6:H39)</f>
        <v>8</v>
      </c>
      <c r="P39" s="0" t="n">
        <f aca="false">SUM(I$6:I39)</f>
        <v>7</v>
      </c>
      <c r="Q39" s="0" t="n">
        <f aca="false">SUM(J$6:J39)</f>
        <v>8</v>
      </c>
      <c r="R39" s="0" t="n">
        <f aca="false">SUM(K$6:K39)</f>
        <v>7</v>
      </c>
      <c r="S39" s="0" t="n">
        <f aca="false">SUM(L$6:L39)</f>
        <v>6</v>
      </c>
      <c r="T39" s="18" t="n">
        <f aca="false">IF(F39=0,0,IF(Inputs!$D56="Open",F$1,IF(Inputs!$D56="Close",ROUND(F$2*1440-F$3*60,0)/1440,IF(OR(INT((M39-1)/Inputs!$B$7)=0,(INT((M$3-1-MOD(M39-1,Inputs!$B$7))/Inputs!$B$7)+1)&lt;=1),F$1,IF(INT((M39-1)/Inputs!$B$7)&gt;=(INT((M$3-1-MOD(M39-1,Inputs!$B$7))/Inputs!$B$7)+1)-1,ROUND(F$2*1440-F$3*60,0)/1440,MAX(F$1,MIN(ROUND(F$2*1440-F$3*60,0)/1440,ROUND((F$1+INT((M39-1)/Inputs!$B$7)/((INT((M$3-1-MOD(M39-1,Inputs!$B$7))/Inputs!$B$7)+1)-1)*((ROUND(F$2*1440-F$3*60,0)/1440)-F$1))*96,0)/96)))))))</f>
        <v>0</v>
      </c>
      <c r="U39" s="18" t="n">
        <f aca="false">IF(G39=0,0,IF(Inputs!$D56="Open",G$1,IF(Inputs!$D56="Close",ROUND(G$2*1440-G$3*60,0)/1440,IF(OR(INT((N39-1)/Inputs!$B$7)=0,(INT((N$3-1-MOD(N39-1,Inputs!$B$7))/Inputs!$B$7)+1)&lt;=1),G$1,IF(INT((N39-1)/Inputs!$B$7)&gt;=(INT((N$3-1-MOD(N39-1,Inputs!$B$7))/Inputs!$B$7)+1)-1,ROUND(G$2*1440-G$3*60,0)/1440,MAX(G$1,MIN(ROUND(G$2*1440-G$3*60,0)/1440,ROUND((G$1+INT((N39-1)/Inputs!$B$7)/((INT((N$3-1-MOD(N39-1,Inputs!$B$7))/Inputs!$B$7)+1)-1)*((ROUND(G$2*1440-G$3*60,0)/1440)-G$1))*96,0)/96)))))))</f>
        <v>0</v>
      </c>
      <c r="V39" s="18" t="n">
        <f aca="false">IF(H39=0,0,IF(Inputs!$D56="Open",H$1,IF(Inputs!$D56="Close",ROUND(H$2*1440-H$3*60,0)/1440,IF(OR(INT((O39-1)/Inputs!$B$7)=0,(INT((O$3-1-MOD(O39-1,Inputs!$B$7))/Inputs!$B$7)+1)&lt;=1),H$1,IF(INT((O39-1)/Inputs!$B$7)&gt;=(INT((O$3-1-MOD(O39-1,Inputs!$B$7))/Inputs!$B$7)+1)-1,ROUND(H$2*1440-H$3*60,0)/1440,MAX(H$1,MIN(ROUND(H$2*1440-H$3*60,0)/1440,ROUND((H$1+INT((O39-1)/Inputs!$B$7)/((INT((O$3-1-MOD(O39-1,Inputs!$B$7))/Inputs!$B$7)+1)-1)*((ROUND(H$2*1440-H$3*60,0)/1440)-H$1))*96,0)/96)))))))</f>
        <v>0</v>
      </c>
      <c r="W39" s="18" t="n">
        <f aca="false">IF(I39=0,0,IF(Inputs!$D56="Open",I$1,IF(Inputs!$D56="Close",ROUND(I$2*1440-I$3*60,0)/1440,IF(OR(INT((P39-1)/Inputs!$B$7)=0,(INT((P$3-1-MOD(P39-1,Inputs!$B$7))/Inputs!$B$7)+1)&lt;=1),I$1,IF(INT((P39-1)/Inputs!$B$7)&gt;=(INT((P$3-1-MOD(P39-1,Inputs!$B$7))/Inputs!$B$7)+1)-1,ROUND(I$2*1440-I$3*60,0)/1440,MAX(I$1,MIN(ROUND(I$2*1440-I$3*60,0)/1440,ROUND((I$1+INT((P39-1)/Inputs!$B$7)/((INT((P$3-1-MOD(P39-1,Inputs!$B$7))/Inputs!$B$7)+1)-1)*((ROUND(I$2*1440-I$3*60,0)/1440)-I$1))*96,0)/96)))))))</f>
        <v>0</v>
      </c>
      <c r="X39" s="18" t="n">
        <f aca="false">IF(J39=0,0,IF(Inputs!$D56="Open",J$1,IF(Inputs!$D56="Close",ROUND(J$2*1440-J$3*60,0)/1440,IF(OR(INT((Q39-1)/Inputs!$B$7)=0,(INT((Q$3-1-MOD(Q39-1,Inputs!$B$7))/Inputs!$B$7)+1)&lt;=1),J$1,IF(INT((Q39-1)/Inputs!$B$7)&gt;=(INT((Q$3-1-MOD(Q39-1,Inputs!$B$7))/Inputs!$B$7)+1)-1,ROUND(J$2*1440-J$3*60,0)/1440,MAX(J$1,MIN(ROUND(J$2*1440-J$3*60,0)/1440,ROUND((J$1+INT((Q39-1)/Inputs!$B$7)/((INT((Q$3-1-MOD(Q39-1,Inputs!$B$7))/Inputs!$B$7)+1)-1)*((ROUND(J$2*1440-J$3*60,0)/1440)-J$1))*96,0)/96)))))))</f>
        <v>0</v>
      </c>
      <c r="Y39" s="18" t="n">
        <f aca="false">IF(K39=0,0,IF(Inputs!$D56="Open",K$1,IF(Inputs!$D56="Close",ROUND(K$2*1440-K$3*60,0)/1440,IF(OR(INT((R39-1)/Inputs!$B$7)=0,(INT((R$3-1-MOD(R39-1,Inputs!$B$7))/Inputs!$B$7)+1)&lt;=1),K$1,IF(INT((R39-1)/Inputs!$B$7)&gt;=(INT((R$3-1-MOD(R39-1,Inputs!$B$7))/Inputs!$B$7)+1)-1,ROUND(K$2*1440-K$3*60,0)/1440,MAX(K$1,MIN(ROUND(K$2*1440-K$3*60,0)/1440,ROUND((K$1+INT((R39-1)/Inputs!$B$7)/((INT((R$3-1-MOD(R39-1,Inputs!$B$7))/Inputs!$B$7)+1)-1)*((ROUND(K$2*1440-K$3*60,0)/1440)-K$1))*96,0)/96)))))))</f>
        <v>0</v>
      </c>
      <c r="Z39" s="18" t="n">
        <f aca="false">IF(L39=0,0,IF(Inputs!$D56="Open",L$1,IF(Inputs!$D56="Close",ROUND(L$2*1440-L$3*60,0)/1440,IF(OR(INT((S39-1)/Inputs!$B$7)=0,(INT((S$3-1-MOD(S39-1,Inputs!$B$7))/Inputs!$B$7)+1)&lt;=1),L$1,IF(INT((S39-1)/Inputs!$B$7)&gt;=(INT((S$3-1-MOD(S39-1,Inputs!$B$7))/Inputs!$B$7)+1)-1,ROUND(L$2*1440-L$3*60,0)/1440,MAX(L$1,MIN(ROUND(L$2*1440-L$3*60,0)/1440,ROUND((L$1+INT((S39-1)/Inputs!$B$7)/((INT((S$3-1-MOD(S39-1,Inputs!$B$7))/Inputs!$B$7)+1)-1)*((ROUND(L$2*1440-L$3*60,0)/1440)-L$1))*96,0)/96)))))))</f>
        <v>0</v>
      </c>
      <c r="AA39" s="18" t="n">
        <f aca="false">IF(F39=0,0,ROUND(T39*1440+F$3*60,0)/1440)</f>
        <v>0</v>
      </c>
      <c r="AB39" s="18" t="n">
        <f aca="false">IF(G39=0,0,ROUND(U39*1440+G$3*60,0)/1440)</f>
        <v>0</v>
      </c>
      <c r="AC39" s="18" t="n">
        <f aca="false">IF(H39=0,0,ROUND(V39*1440+H$3*60,0)/1440)</f>
        <v>0</v>
      </c>
      <c r="AD39" s="18" t="n">
        <f aca="false">IF(I39=0,0,ROUND(W39*1440+I$3*60,0)/1440)</f>
        <v>0</v>
      </c>
      <c r="AE39" s="18" t="n">
        <f aca="false">IF(J39=0,0,ROUND(X39*1440+J$3*60,0)/1440)</f>
        <v>0</v>
      </c>
      <c r="AF39" s="18" t="n">
        <f aca="false">IF(K39=0,0,ROUND(Y39*1440+K$3*60,0)/1440)</f>
        <v>0</v>
      </c>
      <c r="AG39" s="18" t="n">
        <f aca="false">IF(L39=0,0,ROUND(Z39*1440+L$3*60,0)/1440)</f>
        <v>0</v>
      </c>
      <c r="AH39" s="19" t="n">
        <f aca="false">SUMPRODUCT((MOD(AO$1:AU$1-0,7)&lt;Inputs!$B$6)*AO$2:AU$2*(AO38:AU38+1))*100+MOD(0-5,7)</f>
        <v>1602</v>
      </c>
      <c r="AI39" s="19" t="n">
        <f aca="false">SUMPRODUCT((MOD(AO$1:AU$1-1,7)&lt;Inputs!$B$6)*AO$2:AU$2*(AO38:AU38+1))*100+MOD(1-5,7)</f>
        <v>1403</v>
      </c>
      <c r="AJ39" s="19" t="n">
        <f aca="false">SUMPRODUCT((MOD(AO$1:AU$1-2,7)&lt;Inputs!$B$6)*AO$2:AU$2*(AO38:AU38+1))*100+MOD(2-5,7)</f>
        <v>1404</v>
      </c>
      <c r="AK39" s="19" t="n">
        <f aca="false">SUMPRODUCT((MOD(AO$1:AU$1-3,7)&lt;Inputs!$B$6)*AO$2:AU$2*(AO38:AU38+1))*100+MOD(3-5,7)</f>
        <v>1405</v>
      </c>
      <c r="AL39" s="19" t="n">
        <f aca="false">SUMPRODUCT((MOD(AO$1:AU$1-4,7)&lt;Inputs!$B$6)*AO$2:AU$2*(AO38:AU38+1))*100+MOD(4-5,7)</f>
        <v>1406</v>
      </c>
      <c r="AM39" s="19" t="n">
        <f aca="false">SUMPRODUCT((MOD(AO$1:AU$1-5,7)&lt;Inputs!$B$6)*AO$2:AU$2*(AO38:AU38+1))*100+MOD(5-5,7)</f>
        <v>1800</v>
      </c>
      <c r="AN39" s="19" t="n">
        <f aca="false">SUMPRODUCT((MOD(AO$1:AU$1-6,7)&lt;Inputs!$B$6)*AO$2:AU$2*(AO38:AU38+1))*100+MOD(6-5,7)</f>
        <v>1801</v>
      </c>
      <c r="AO39" s="19" t="n">
        <f aca="false">AO38+IF($B39=1,IF(MOD(0-$D39,7)&lt;Inputs!$B$6,1,0),0)</f>
        <v>3</v>
      </c>
      <c r="AP39" s="19" t="n">
        <f aca="false">AP38+IF($B39=1,IF(MOD(1-$D39,7)&lt;Inputs!$B$6,1,0),0)</f>
        <v>3</v>
      </c>
      <c r="AQ39" s="19" t="n">
        <f aca="false">AQ38+IF($B39=1,IF(MOD(2-$D39,7)&lt;Inputs!$B$6,1,0),0)</f>
        <v>2</v>
      </c>
      <c r="AR39" s="19" t="n">
        <f aca="false">AR38+IF($B39=1,IF(MOD(3-$D39,7)&lt;Inputs!$B$6,1,0),0)</f>
        <v>3</v>
      </c>
      <c r="AS39" s="19" t="n">
        <f aca="false">AS38+IF($B39=1,IF(MOD(4-$D39,7)&lt;Inputs!$B$6,1,0),0)</f>
        <v>2</v>
      </c>
      <c r="AT39" s="19" t="n">
        <f aca="false">AT38+IF($B39=1,IF(MOD(5-$D39,7)&lt;Inputs!$B$6,1,0),0)</f>
        <v>3</v>
      </c>
      <c r="AU39" s="19" t="n">
        <f aca="false">AU38+IF($B39=1,IF(MOD(6-$D39,7)&lt;Inputs!$B$6,1,0),0)</f>
        <v>4</v>
      </c>
    </row>
    <row r="40" customFormat="false" ht="15" hidden="false" customHeight="false" outlineLevel="0" collapsed="false">
      <c r="A40" s="0" t="n">
        <v>35</v>
      </c>
      <c r="B40" s="0" t="n">
        <f aca="false">IF(A40&lt;=Inputs!$B$3,1,0)</f>
        <v>0</v>
      </c>
      <c r="C40" s="0" t="n">
        <f aca="false">MOD(5+MOD(A40-1,7),7)</f>
        <v>4</v>
      </c>
      <c r="D40" s="0" t="n">
        <f aca="false">IF(Inputs!C57&lt;&gt;"",MATCH(Inputs!C57,Inputs!$A$11:$A$17,0)-1,IF(B40=0,0,MATCH(MIN(AH40:AN40),AH40:AN40,0)-1))</f>
        <v>0</v>
      </c>
      <c r="F40" s="0" t="n">
        <f aca="false">IF(OR($B40=0,F$3=0),0,IF(MOD(0-$D40,7)&lt;Inputs!$B$6,0,1))</f>
        <v>0</v>
      </c>
      <c r="G40" s="0" t="n">
        <f aca="false">IF(OR($B40=0,G$3=0),0,IF(MOD(1-$D40,7)&lt;Inputs!$B$6,0,1))</f>
        <v>0</v>
      </c>
      <c r="H40" s="0" t="n">
        <f aca="false">IF(OR($B40=0,H$3=0),0,IF(MOD(2-$D40,7)&lt;Inputs!$B$6,0,1))</f>
        <v>0</v>
      </c>
      <c r="I40" s="0" t="n">
        <f aca="false">IF(OR($B40=0,I$3=0),0,IF(MOD(3-$D40,7)&lt;Inputs!$B$6,0,1))</f>
        <v>0</v>
      </c>
      <c r="J40" s="0" t="n">
        <f aca="false">IF(OR($B40=0,J$3=0),0,IF(MOD(4-$D40,7)&lt;Inputs!$B$6,0,1))</f>
        <v>0</v>
      </c>
      <c r="K40" s="0" t="n">
        <f aca="false">IF(OR($B40=0,K$3=0),0,IF(MOD(5-$D40,7)&lt;Inputs!$B$6,0,1))</f>
        <v>0</v>
      </c>
      <c r="L40" s="0" t="n">
        <f aca="false">IF(OR($B40=0,L$3=0),0,IF(MOD(6-$D40,7)&lt;Inputs!$B$6,0,1))</f>
        <v>0</v>
      </c>
      <c r="M40" s="0" t="n">
        <f aca="false">SUM(F$6:F40)</f>
        <v>7</v>
      </c>
      <c r="N40" s="0" t="n">
        <f aca="false">SUM(G$6:G40)</f>
        <v>7</v>
      </c>
      <c r="O40" s="0" t="n">
        <f aca="false">SUM(H$6:H40)</f>
        <v>8</v>
      </c>
      <c r="P40" s="0" t="n">
        <f aca="false">SUM(I$6:I40)</f>
        <v>7</v>
      </c>
      <c r="Q40" s="0" t="n">
        <f aca="false">SUM(J$6:J40)</f>
        <v>8</v>
      </c>
      <c r="R40" s="0" t="n">
        <f aca="false">SUM(K$6:K40)</f>
        <v>7</v>
      </c>
      <c r="S40" s="0" t="n">
        <f aca="false">SUM(L$6:L40)</f>
        <v>6</v>
      </c>
      <c r="T40" s="18" t="n">
        <f aca="false">IF(F40=0,0,IF(Inputs!$D57="Open",F$1,IF(Inputs!$D57="Close",ROUND(F$2*1440-F$3*60,0)/1440,IF(OR(INT((M40-1)/Inputs!$B$7)=0,(INT((M$3-1-MOD(M40-1,Inputs!$B$7))/Inputs!$B$7)+1)&lt;=1),F$1,IF(INT((M40-1)/Inputs!$B$7)&gt;=(INT((M$3-1-MOD(M40-1,Inputs!$B$7))/Inputs!$B$7)+1)-1,ROUND(F$2*1440-F$3*60,0)/1440,MAX(F$1,MIN(ROUND(F$2*1440-F$3*60,0)/1440,ROUND((F$1+INT((M40-1)/Inputs!$B$7)/((INT((M$3-1-MOD(M40-1,Inputs!$B$7))/Inputs!$B$7)+1)-1)*((ROUND(F$2*1440-F$3*60,0)/1440)-F$1))*96,0)/96)))))))</f>
        <v>0</v>
      </c>
      <c r="U40" s="18" t="n">
        <f aca="false">IF(G40=0,0,IF(Inputs!$D57="Open",G$1,IF(Inputs!$D57="Close",ROUND(G$2*1440-G$3*60,0)/1440,IF(OR(INT((N40-1)/Inputs!$B$7)=0,(INT((N$3-1-MOD(N40-1,Inputs!$B$7))/Inputs!$B$7)+1)&lt;=1),G$1,IF(INT((N40-1)/Inputs!$B$7)&gt;=(INT((N$3-1-MOD(N40-1,Inputs!$B$7))/Inputs!$B$7)+1)-1,ROUND(G$2*1440-G$3*60,0)/1440,MAX(G$1,MIN(ROUND(G$2*1440-G$3*60,0)/1440,ROUND((G$1+INT((N40-1)/Inputs!$B$7)/((INT((N$3-1-MOD(N40-1,Inputs!$B$7))/Inputs!$B$7)+1)-1)*((ROUND(G$2*1440-G$3*60,0)/1440)-G$1))*96,0)/96)))))))</f>
        <v>0</v>
      </c>
      <c r="V40" s="18" t="n">
        <f aca="false">IF(H40=0,0,IF(Inputs!$D57="Open",H$1,IF(Inputs!$D57="Close",ROUND(H$2*1440-H$3*60,0)/1440,IF(OR(INT((O40-1)/Inputs!$B$7)=0,(INT((O$3-1-MOD(O40-1,Inputs!$B$7))/Inputs!$B$7)+1)&lt;=1),H$1,IF(INT((O40-1)/Inputs!$B$7)&gt;=(INT((O$3-1-MOD(O40-1,Inputs!$B$7))/Inputs!$B$7)+1)-1,ROUND(H$2*1440-H$3*60,0)/1440,MAX(H$1,MIN(ROUND(H$2*1440-H$3*60,0)/1440,ROUND((H$1+INT((O40-1)/Inputs!$B$7)/((INT((O$3-1-MOD(O40-1,Inputs!$B$7))/Inputs!$B$7)+1)-1)*((ROUND(H$2*1440-H$3*60,0)/1440)-H$1))*96,0)/96)))))))</f>
        <v>0</v>
      </c>
      <c r="W40" s="18" t="n">
        <f aca="false">IF(I40=0,0,IF(Inputs!$D57="Open",I$1,IF(Inputs!$D57="Close",ROUND(I$2*1440-I$3*60,0)/1440,IF(OR(INT((P40-1)/Inputs!$B$7)=0,(INT((P$3-1-MOD(P40-1,Inputs!$B$7))/Inputs!$B$7)+1)&lt;=1),I$1,IF(INT((P40-1)/Inputs!$B$7)&gt;=(INT((P$3-1-MOD(P40-1,Inputs!$B$7))/Inputs!$B$7)+1)-1,ROUND(I$2*1440-I$3*60,0)/1440,MAX(I$1,MIN(ROUND(I$2*1440-I$3*60,0)/1440,ROUND((I$1+INT((P40-1)/Inputs!$B$7)/((INT((P$3-1-MOD(P40-1,Inputs!$B$7))/Inputs!$B$7)+1)-1)*((ROUND(I$2*1440-I$3*60,0)/1440)-I$1))*96,0)/96)))))))</f>
        <v>0</v>
      </c>
      <c r="X40" s="18" t="n">
        <f aca="false">IF(J40=0,0,IF(Inputs!$D57="Open",J$1,IF(Inputs!$D57="Close",ROUND(J$2*1440-J$3*60,0)/1440,IF(OR(INT((Q40-1)/Inputs!$B$7)=0,(INT((Q$3-1-MOD(Q40-1,Inputs!$B$7))/Inputs!$B$7)+1)&lt;=1),J$1,IF(INT((Q40-1)/Inputs!$B$7)&gt;=(INT((Q$3-1-MOD(Q40-1,Inputs!$B$7))/Inputs!$B$7)+1)-1,ROUND(J$2*1440-J$3*60,0)/1440,MAX(J$1,MIN(ROUND(J$2*1440-J$3*60,0)/1440,ROUND((J$1+INT((Q40-1)/Inputs!$B$7)/((INT((Q$3-1-MOD(Q40-1,Inputs!$B$7))/Inputs!$B$7)+1)-1)*((ROUND(J$2*1440-J$3*60,0)/1440)-J$1))*96,0)/96)))))))</f>
        <v>0</v>
      </c>
      <c r="Y40" s="18" t="n">
        <f aca="false">IF(K40=0,0,IF(Inputs!$D57="Open",K$1,IF(Inputs!$D57="Close",ROUND(K$2*1440-K$3*60,0)/1440,IF(OR(INT((R40-1)/Inputs!$B$7)=0,(INT((R$3-1-MOD(R40-1,Inputs!$B$7))/Inputs!$B$7)+1)&lt;=1),K$1,IF(INT((R40-1)/Inputs!$B$7)&gt;=(INT((R$3-1-MOD(R40-1,Inputs!$B$7))/Inputs!$B$7)+1)-1,ROUND(K$2*1440-K$3*60,0)/1440,MAX(K$1,MIN(ROUND(K$2*1440-K$3*60,0)/1440,ROUND((K$1+INT((R40-1)/Inputs!$B$7)/((INT((R$3-1-MOD(R40-1,Inputs!$B$7))/Inputs!$B$7)+1)-1)*((ROUND(K$2*1440-K$3*60,0)/1440)-K$1))*96,0)/96)))))))</f>
        <v>0</v>
      </c>
      <c r="Z40" s="18" t="n">
        <f aca="false">IF(L40=0,0,IF(Inputs!$D57="Open",L$1,IF(Inputs!$D57="Close",ROUND(L$2*1440-L$3*60,0)/1440,IF(OR(INT((S40-1)/Inputs!$B$7)=0,(INT((S$3-1-MOD(S40-1,Inputs!$B$7))/Inputs!$B$7)+1)&lt;=1),L$1,IF(INT((S40-1)/Inputs!$B$7)&gt;=(INT((S$3-1-MOD(S40-1,Inputs!$B$7))/Inputs!$B$7)+1)-1,ROUND(L$2*1440-L$3*60,0)/1440,MAX(L$1,MIN(ROUND(L$2*1440-L$3*60,0)/1440,ROUND((L$1+INT((S40-1)/Inputs!$B$7)/((INT((S$3-1-MOD(S40-1,Inputs!$B$7))/Inputs!$B$7)+1)-1)*((ROUND(L$2*1440-L$3*60,0)/1440)-L$1))*96,0)/96)))))))</f>
        <v>0</v>
      </c>
      <c r="AA40" s="18" t="n">
        <f aca="false">IF(F40=0,0,ROUND(T40*1440+F$3*60,0)/1440)</f>
        <v>0</v>
      </c>
      <c r="AB40" s="18" t="n">
        <f aca="false">IF(G40=0,0,ROUND(U40*1440+G$3*60,0)/1440)</f>
        <v>0</v>
      </c>
      <c r="AC40" s="18" t="n">
        <f aca="false">IF(H40=0,0,ROUND(V40*1440+H$3*60,0)/1440)</f>
        <v>0</v>
      </c>
      <c r="AD40" s="18" t="n">
        <f aca="false">IF(I40=0,0,ROUND(W40*1440+I$3*60,0)/1440)</f>
        <v>0</v>
      </c>
      <c r="AE40" s="18" t="n">
        <f aca="false">IF(J40=0,0,ROUND(X40*1440+J$3*60,0)/1440)</f>
        <v>0</v>
      </c>
      <c r="AF40" s="18" t="n">
        <f aca="false">IF(K40=0,0,ROUND(Y40*1440+K$3*60,0)/1440)</f>
        <v>0</v>
      </c>
      <c r="AG40" s="18" t="n">
        <f aca="false">IF(L40=0,0,ROUND(Z40*1440+L$3*60,0)/1440)</f>
        <v>0</v>
      </c>
      <c r="AH40" s="19" t="n">
        <f aca="false">SUMPRODUCT((MOD(AO$1:AU$1-0,7)&lt;Inputs!$B$6)*AO$2:AU$2*(AO39:AU39+1))*100+MOD(0-5,7)</f>
        <v>1602</v>
      </c>
      <c r="AI40" s="19" t="n">
        <f aca="false">SUMPRODUCT((MOD(AO$1:AU$1-1,7)&lt;Inputs!$B$6)*AO$2:AU$2*(AO39:AU39+1))*100+MOD(1-5,7)</f>
        <v>1403</v>
      </c>
      <c r="AJ40" s="19" t="n">
        <f aca="false">SUMPRODUCT((MOD(AO$1:AU$1-2,7)&lt;Inputs!$B$6)*AO$2:AU$2*(AO39:AU39+1))*100+MOD(2-5,7)</f>
        <v>1404</v>
      </c>
      <c r="AK40" s="19" t="n">
        <f aca="false">SUMPRODUCT((MOD(AO$1:AU$1-3,7)&lt;Inputs!$B$6)*AO$2:AU$2*(AO39:AU39+1))*100+MOD(3-5,7)</f>
        <v>1405</v>
      </c>
      <c r="AL40" s="19" t="n">
        <f aca="false">SUMPRODUCT((MOD(AO$1:AU$1-4,7)&lt;Inputs!$B$6)*AO$2:AU$2*(AO39:AU39+1))*100+MOD(4-5,7)</f>
        <v>1406</v>
      </c>
      <c r="AM40" s="19" t="n">
        <f aca="false">SUMPRODUCT((MOD(AO$1:AU$1-5,7)&lt;Inputs!$B$6)*AO$2:AU$2*(AO39:AU39+1))*100+MOD(5-5,7)</f>
        <v>1800</v>
      </c>
      <c r="AN40" s="19" t="n">
        <f aca="false">SUMPRODUCT((MOD(AO$1:AU$1-6,7)&lt;Inputs!$B$6)*AO$2:AU$2*(AO39:AU39+1))*100+MOD(6-5,7)</f>
        <v>1801</v>
      </c>
      <c r="AO40" s="19" t="n">
        <f aca="false">AO39+IF($B40=1,IF(MOD(0-$D40,7)&lt;Inputs!$B$6,1,0),0)</f>
        <v>3</v>
      </c>
      <c r="AP40" s="19" t="n">
        <f aca="false">AP39+IF($B40=1,IF(MOD(1-$D40,7)&lt;Inputs!$B$6,1,0),0)</f>
        <v>3</v>
      </c>
      <c r="AQ40" s="19" t="n">
        <f aca="false">AQ39+IF($B40=1,IF(MOD(2-$D40,7)&lt;Inputs!$B$6,1,0),0)</f>
        <v>2</v>
      </c>
      <c r="AR40" s="19" t="n">
        <f aca="false">AR39+IF($B40=1,IF(MOD(3-$D40,7)&lt;Inputs!$B$6,1,0),0)</f>
        <v>3</v>
      </c>
      <c r="AS40" s="19" t="n">
        <f aca="false">AS39+IF($B40=1,IF(MOD(4-$D40,7)&lt;Inputs!$B$6,1,0),0)</f>
        <v>2</v>
      </c>
      <c r="AT40" s="19" t="n">
        <f aca="false">AT39+IF($B40=1,IF(MOD(5-$D40,7)&lt;Inputs!$B$6,1,0),0)</f>
        <v>3</v>
      </c>
      <c r="AU40" s="19" t="n">
        <f aca="false">AU39+IF($B40=1,IF(MOD(6-$D40,7)&lt;Inputs!$B$6,1,0),0)</f>
        <v>4</v>
      </c>
    </row>
    <row r="41" customFormat="false" ht="15" hidden="false" customHeight="false" outlineLevel="0" collapsed="false">
      <c r="A41" s="0" t="n">
        <v>36</v>
      </c>
      <c r="B41" s="0" t="n">
        <f aca="false">IF(A41&lt;=Inputs!$B$3,1,0)</f>
        <v>0</v>
      </c>
      <c r="C41" s="0" t="n">
        <f aca="false">MOD(5+MOD(A41-1,7),7)</f>
        <v>5</v>
      </c>
      <c r="D41" s="0" t="n">
        <f aca="false">IF(Inputs!C58&lt;&gt;"",MATCH(Inputs!C58,Inputs!$A$11:$A$17,0)-1,IF(B41=0,0,MATCH(MIN(AH41:AN41),AH41:AN41,0)-1))</f>
        <v>0</v>
      </c>
      <c r="F41" s="0" t="n">
        <f aca="false">IF(OR($B41=0,F$3=0),0,IF(MOD(0-$D41,7)&lt;Inputs!$B$6,0,1))</f>
        <v>0</v>
      </c>
      <c r="G41" s="0" t="n">
        <f aca="false">IF(OR($B41=0,G$3=0),0,IF(MOD(1-$D41,7)&lt;Inputs!$B$6,0,1))</f>
        <v>0</v>
      </c>
      <c r="H41" s="0" t="n">
        <f aca="false">IF(OR($B41=0,H$3=0),0,IF(MOD(2-$D41,7)&lt;Inputs!$B$6,0,1))</f>
        <v>0</v>
      </c>
      <c r="I41" s="0" t="n">
        <f aca="false">IF(OR($B41=0,I$3=0),0,IF(MOD(3-$D41,7)&lt;Inputs!$B$6,0,1))</f>
        <v>0</v>
      </c>
      <c r="J41" s="0" t="n">
        <f aca="false">IF(OR($B41=0,J$3=0),0,IF(MOD(4-$D41,7)&lt;Inputs!$B$6,0,1))</f>
        <v>0</v>
      </c>
      <c r="K41" s="0" t="n">
        <f aca="false">IF(OR($B41=0,K$3=0),0,IF(MOD(5-$D41,7)&lt;Inputs!$B$6,0,1))</f>
        <v>0</v>
      </c>
      <c r="L41" s="0" t="n">
        <f aca="false">IF(OR($B41=0,L$3=0),0,IF(MOD(6-$D41,7)&lt;Inputs!$B$6,0,1))</f>
        <v>0</v>
      </c>
      <c r="M41" s="0" t="n">
        <f aca="false">SUM(F$6:F41)</f>
        <v>7</v>
      </c>
      <c r="N41" s="0" t="n">
        <f aca="false">SUM(G$6:G41)</f>
        <v>7</v>
      </c>
      <c r="O41" s="0" t="n">
        <f aca="false">SUM(H$6:H41)</f>
        <v>8</v>
      </c>
      <c r="P41" s="0" t="n">
        <f aca="false">SUM(I$6:I41)</f>
        <v>7</v>
      </c>
      <c r="Q41" s="0" t="n">
        <f aca="false">SUM(J$6:J41)</f>
        <v>8</v>
      </c>
      <c r="R41" s="0" t="n">
        <f aca="false">SUM(K$6:K41)</f>
        <v>7</v>
      </c>
      <c r="S41" s="0" t="n">
        <f aca="false">SUM(L$6:L41)</f>
        <v>6</v>
      </c>
      <c r="T41" s="18" t="n">
        <f aca="false">IF(F41=0,0,IF(Inputs!$D58="Open",F$1,IF(Inputs!$D58="Close",ROUND(F$2*1440-F$3*60,0)/1440,IF(OR(INT((M41-1)/Inputs!$B$7)=0,(INT((M$3-1-MOD(M41-1,Inputs!$B$7))/Inputs!$B$7)+1)&lt;=1),F$1,IF(INT((M41-1)/Inputs!$B$7)&gt;=(INT((M$3-1-MOD(M41-1,Inputs!$B$7))/Inputs!$B$7)+1)-1,ROUND(F$2*1440-F$3*60,0)/1440,MAX(F$1,MIN(ROUND(F$2*1440-F$3*60,0)/1440,ROUND((F$1+INT((M41-1)/Inputs!$B$7)/((INT((M$3-1-MOD(M41-1,Inputs!$B$7))/Inputs!$B$7)+1)-1)*((ROUND(F$2*1440-F$3*60,0)/1440)-F$1))*96,0)/96)))))))</f>
        <v>0</v>
      </c>
      <c r="U41" s="18" t="n">
        <f aca="false">IF(G41=0,0,IF(Inputs!$D58="Open",G$1,IF(Inputs!$D58="Close",ROUND(G$2*1440-G$3*60,0)/1440,IF(OR(INT((N41-1)/Inputs!$B$7)=0,(INT((N$3-1-MOD(N41-1,Inputs!$B$7))/Inputs!$B$7)+1)&lt;=1),G$1,IF(INT((N41-1)/Inputs!$B$7)&gt;=(INT((N$3-1-MOD(N41-1,Inputs!$B$7))/Inputs!$B$7)+1)-1,ROUND(G$2*1440-G$3*60,0)/1440,MAX(G$1,MIN(ROUND(G$2*1440-G$3*60,0)/1440,ROUND((G$1+INT((N41-1)/Inputs!$B$7)/((INT((N$3-1-MOD(N41-1,Inputs!$B$7))/Inputs!$B$7)+1)-1)*((ROUND(G$2*1440-G$3*60,0)/1440)-G$1))*96,0)/96)))))))</f>
        <v>0</v>
      </c>
      <c r="V41" s="18" t="n">
        <f aca="false">IF(H41=0,0,IF(Inputs!$D58="Open",H$1,IF(Inputs!$D58="Close",ROUND(H$2*1440-H$3*60,0)/1440,IF(OR(INT((O41-1)/Inputs!$B$7)=0,(INT((O$3-1-MOD(O41-1,Inputs!$B$7))/Inputs!$B$7)+1)&lt;=1),H$1,IF(INT((O41-1)/Inputs!$B$7)&gt;=(INT((O$3-1-MOD(O41-1,Inputs!$B$7))/Inputs!$B$7)+1)-1,ROUND(H$2*1440-H$3*60,0)/1440,MAX(H$1,MIN(ROUND(H$2*1440-H$3*60,0)/1440,ROUND((H$1+INT((O41-1)/Inputs!$B$7)/((INT((O$3-1-MOD(O41-1,Inputs!$B$7))/Inputs!$B$7)+1)-1)*((ROUND(H$2*1440-H$3*60,0)/1440)-H$1))*96,0)/96)))))))</f>
        <v>0</v>
      </c>
      <c r="W41" s="18" t="n">
        <f aca="false">IF(I41=0,0,IF(Inputs!$D58="Open",I$1,IF(Inputs!$D58="Close",ROUND(I$2*1440-I$3*60,0)/1440,IF(OR(INT((P41-1)/Inputs!$B$7)=0,(INT((P$3-1-MOD(P41-1,Inputs!$B$7))/Inputs!$B$7)+1)&lt;=1),I$1,IF(INT((P41-1)/Inputs!$B$7)&gt;=(INT((P$3-1-MOD(P41-1,Inputs!$B$7))/Inputs!$B$7)+1)-1,ROUND(I$2*1440-I$3*60,0)/1440,MAX(I$1,MIN(ROUND(I$2*1440-I$3*60,0)/1440,ROUND((I$1+INT((P41-1)/Inputs!$B$7)/((INT((P$3-1-MOD(P41-1,Inputs!$B$7))/Inputs!$B$7)+1)-1)*((ROUND(I$2*1440-I$3*60,0)/1440)-I$1))*96,0)/96)))))))</f>
        <v>0</v>
      </c>
      <c r="X41" s="18" t="n">
        <f aca="false">IF(J41=0,0,IF(Inputs!$D58="Open",J$1,IF(Inputs!$D58="Close",ROUND(J$2*1440-J$3*60,0)/1440,IF(OR(INT((Q41-1)/Inputs!$B$7)=0,(INT((Q$3-1-MOD(Q41-1,Inputs!$B$7))/Inputs!$B$7)+1)&lt;=1),J$1,IF(INT((Q41-1)/Inputs!$B$7)&gt;=(INT((Q$3-1-MOD(Q41-1,Inputs!$B$7))/Inputs!$B$7)+1)-1,ROUND(J$2*1440-J$3*60,0)/1440,MAX(J$1,MIN(ROUND(J$2*1440-J$3*60,0)/1440,ROUND((J$1+INT((Q41-1)/Inputs!$B$7)/((INT((Q$3-1-MOD(Q41-1,Inputs!$B$7))/Inputs!$B$7)+1)-1)*((ROUND(J$2*1440-J$3*60,0)/1440)-J$1))*96,0)/96)))))))</f>
        <v>0</v>
      </c>
      <c r="Y41" s="18" t="n">
        <f aca="false">IF(K41=0,0,IF(Inputs!$D58="Open",K$1,IF(Inputs!$D58="Close",ROUND(K$2*1440-K$3*60,0)/1440,IF(OR(INT((R41-1)/Inputs!$B$7)=0,(INT((R$3-1-MOD(R41-1,Inputs!$B$7))/Inputs!$B$7)+1)&lt;=1),K$1,IF(INT((R41-1)/Inputs!$B$7)&gt;=(INT((R$3-1-MOD(R41-1,Inputs!$B$7))/Inputs!$B$7)+1)-1,ROUND(K$2*1440-K$3*60,0)/1440,MAX(K$1,MIN(ROUND(K$2*1440-K$3*60,0)/1440,ROUND((K$1+INT((R41-1)/Inputs!$B$7)/((INT((R$3-1-MOD(R41-1,Inputs!$B$7))/Inputs!$B$7)+1)-1)*((ROUND(K$2*1440-K$3*60,0)/1440)-K$1))*96,0)/96)))))))</f>
        <v>0</v>
      </c>
      <c r="Z41" s="18" t="n">
        <f aca="false">IF(L41=0,0,IF(Inputs!$D58="Open",L$1,IF(Inputs!$D58="Close",ROUND(L$2*1440-L$3*60,0)/1440,IF(OR(INT((S41-1)/Inputs!$B$7)=0,(INT((S$3-1-MOD(S41-1,Inputs!$B$7))/Inputs!$B$7)+1)&lt;=1),L$1,IF(INT((S41-1)/Inputs!$B$7)&gt;=(INT((S$3-1-MOD(S41-1,Inputs!$B$7))/Inputs!$B$7)+1)-1,ROUND(L$2*1440-L$3*60,0)/1440,MAX(L$1,MIN(ROUND(L$2*1440-L$3*60,0)/1440,ROUND((L$1+INT((S41-1)/Inputs!$B$7)/((INT((S$3-1-MOD(S41-1,Inputs!$B$7))/Inputs!$B$7)+1)-1)*((ROUND(L$2*1440-L$3*60,0)/1440)-L$1))*96,0)/96)))))))</f>
        <v>0</v>
      </c>
      <c r="AA41" s="18" t="n">
        <f aca="false">IF(F41=0,0,ROUND(T41*1440+F$3*60,0)/1440)</f>
        <v>0</v>
      </c>
      <c r="AB41" s="18" t="n">
        <f aca="false">IF(G41=0,0,ROUND(U41*1440+G$3*60,0)/1440)</f>
        <v>0</v>
      </c>
      <c r="AC41" s="18" t="n">
        <f aca="false">IF(H41=0,0,ROUND(V41*1440+H$3*60,0)/1440)</f>
        <v>0</v>
      </c>
      <c r="AD41" s="18" t="n">
        <f aca="false">IF(I41=0,0,ROUND(W41*1440+I$3*60,0)/1440)</f>
        <v>0</v>
      </c>
      <c r="AE41" s="18" t="n">
        <f aca="false">IF(J41=0,0,ROUND(X41*1440+J$3*60,0)/1440)</f>
        <v>0</v>
      </c>
      <c r="AF41" s="18" t="n">
        <f aca="false">IF(K41=0,0,ROUND(Y41*1440+K$3*60,0)/1440)</f>
        <v>0</v>
      </c>
      <c r="AG41" s="18" t="n">
        <f aca="false">IF(L41=0,0,ROUND(Z41*1440+L$3*60,0)/1440)</f>
        <v>0</v>
      </c>
      <c r="AH41" s="19" t="n">
        <f aca="false">SUMPRODUCT((MOD(AO$1:AU$1-0,7)&lt;Inputs!$B$6)*AO$2:AU$2*(AO40:AU40+1))*100+MOD(0-5,7)</f>
        <v>1602</v>
      </c>
      <c r="AI41" s="19" t="n">
        <f aca="false">SUMPRODUCT((MOD(AO$1:AU$1-1,7)&lt;Inputs!$B$6)*AO$2:AU$2*(AO40:AU40+1))*100+MOD(1-5,7)</f>
        <v>1403</v>
      </c>
      <c r="AJ41" s="19" t="n">
        <f aca="false">SUMPRODUCT((MOD(AO$1:AU$1-2,7)&lt;Inputs!$B$6)*AO$2:AU$2*(AO40:AU40+1))*100+MOD(2-5,7)</f>
        <v>1404</v>
      </c>
      <c r="AK41" s="19" t="n">
        <f aca="false">SUMPRODUCT((MOD(AO$1:AU$1-3,7)&lt;Inputs!$B$6)*AO$2:AU$2*(AO40:AU40+1))*100+MOD(3-5,7)</f>
        <v>1405</v>
      </c>
      <c r="AL41" s="19" t="n">
        <f aca="false">SUMPRODUCT((MOD(AO$1:AU$1-4,7)&lt;Inputs!$B$6)*AO$2:AU$2*(AO40:AU40+1))*100+MOD(4-5,7)</f>
        <v>1406</v>
      </c>
      <c r="AM41" s="19" t="n">
        <f aca="false">SUMPRODUCT((MOD(AO$1:AU$1-5,7)&lt;Inputs!$B$6)*AO$2:AU$2*(AO40:AU40+1))*100+MOD(5-5,7)</f>
        <v>1800</v>
      </c>
      <c r="AN41" s="19" t="n">
        <f aca="false">SUMPRODUCT((MOD(AO$1:AU$1-6,7)&lt;Inputs!$B$6)*AO$2:AU$2*(AO40:AU40+1))*100+MOD(6-5,7)</f>
        <v>1801</v>
      </c>
      <c r="AO41" s="19" t="n">
        <f aca="false">AO40+IF($B41=1,IF(MOD(0-$D41,7)&lt;Inputs!$B$6,1,0),0)</f>
        <v>3</v>
      </c>
      <c r="AP41" s="19" t="n">
        <f aca="false">AP40+IF($B41=1,IF(MOD(1-$D41,7)&lt;Inputs!$B$6,1,0),0)</f>
        <v>3</v>
      </c>
      <c r="AQ41" s="19" t="n">
        <f aca="false">AQ40+IF($B41=1,IF(MOD(2-$D41,7)&lt;Inputs!$B$6,1,0),0)</f>
        <v>2</v>
      </c>
      <c r="AR41" s="19" t="n">
        <f aca="false">AR40+IF($B41=1,IF(MOD(3-$D41,7)&lt;Inputs!$B$6,1,0),0)</f>
        <v>3</v>
      </c>
      <c r="AS41" s="19" t="n">
        <f aca="false">AS40+IF($B41=1,IF(MOD(4-$D41,7)&lt;Inputs!$B$6,1,0),0)</f>
        <v>2</v>
      </c>
      <c r="AT41" s="19" t="n">
        <f aca="false">AT40+IF($B41=1,IF(MOD(5-$D41,7)&lt;Inputs!$B$6,1,0),0)</f>
        <v>3</v>
      </c>
      <c r="AU41" s="19" t="n">
        <f aca="false">AU40+IF($B41=1,IF(MOD(6-$D41,7)&lt;Inputs!$B$6,1,0),0)</f>
        <v>4</v>
      </c>
    </row>
    <row r="42" customFormat="false" ht="15" hidden="false" customHeight="false" outlineLevel="0" collapsed="false">
      <c r="A42" s="0" t="n">
        <v>37</v>
      </c>
      <c r="B42" s="0" t="n">
        <f aca="false">IF(A42&lt;=Inputs!$B$3,1,0)</f>
        <v>0</v>
      </c>
      <c r="C42" s="0" t="n">
        <f aca="false">MOD(5+MOD(A42-1,7),7)</f>
        <v>6</v>
      </c>
      <c r="D42" s="0" t="n">
        <f aca="false">IF(Inputs!C59&lt;&gt;"",MATCH(Inputs!C59,Inputs!$A$11:$A$17,0)-1,IF(B42=0,0,MATCH(MIN(AH42:AN42),AH42:AN42,0)-1))</f>
        <v>0</v>
      </c>
      <c r="F42" s="0" t="n">
        <f aca="false">IF(OR($B42=0,F$3=0),0,IF(MOD(0-$D42,7)&lt;Inputs!$B$6,0,1))</f>
        <v>0</v>
      </c>
      <c r="G42" s="0" t="n">
        <f aca="false">IF(OR($B42=0,G$3=0),0,IF(MOD(1-$D42,7)&lt;Inputs!$B$6,0,1))</f>
        <v>0</v>
      </c>
      <c r="H42" s="0" t="n">
        <f aca="false">IF(OR($B42=0,H$3=0),0,IF(MOD(2-$D42,7)&lt;Inputs!$B$6,0,1))</f>
        <v>0</v>
      </c>
      <c r="I42" s="0" t="n">
        <f aca="false">IF(OR($B42=0,I$3=0),0,IF(MOD(3-$D42,7)&lt;Inputs!$B$6,0,1))</f>
        <v>0</v>
      </c>
      <c r="J42" s="0" t="n">
        <f aca="false">IF(OR($B42=0,J$3=0),0,IF(MOD(4-$D42,7)&lt;Inputs!$B$6,0,1))</f>
        <v>0</v>
      </c>
      <c r="K42" s="0" t="n">
        <f aca="false">IF(OR($B42=0,K$3=0),0,IF(MOD(5-$D42,7)&lt;Inputs!$B$6,0,1))</f>
        <v>0</v>
      </c>
      <c r="L42" s="0" t="n">
        <f aca="false">IF(OR($B42=0,L$3=0),0,IF(MOD(6-$D42,7)&lt;Inputs!$B$6,0,1))</f>
        <v>0</v>
      </c>
      <c r="M42" s="0" t="n">
        <f aca="false">SUM(F$6:F42)</f>
        <v>7</v>
      </c>
      <c r="N42" s="0" t="n">
        <f aca="false">SUM(G$6:G42)</f>
        <v>7</v>
      </c>
      <c r="O42" s="0" t="n">
        <f aca="false">SUM(H$6:H42)</f>
        <v>8</v>
      </c>
      <c r="P42" s="0" t="n">
        <f aca="false">SUM(I$6:I42)</f>
        <v>7</v>
      </c>
      <c r="Q42" s="0" t="n">
        <f aca="false">SUM(J$6:J42)</f>
        <v>8</v>
      </c>
      <c r="R42" s="0" t="n">
        <f aca="false">SUM(K$6:K42)</f>
        <v>7</v>
      </c>
      <c r="S42" s="0" t="n">
        <f aca="false">SUM(L$6:L42)</f>
        <v>6</v>
      </c>
      <c r="T42" s="18" t="n">
        <f aca="false">IF(F42=0,0,IF(Inputs!$D59="Open",F$1,IF(Inputs!$D59="Close",ROUND(F$2*1440-F$3*60,0)/1440,IF(OR(INT((M42-1)/Inputs!$B$7)=0,(INT((M$3-1-MOD(M42-1,Inputs!$B$7))/Inputs!$B$7)+1)&lt;=1),F$1,IF(INT((M42-1)/Inputs!$B$7)&gt;=(INT((M$3-1-MOD(M42-1,Inputs!$B$7))/Inputs!$B$7)+1)-1,ROUND(F$2*1440-F$3*60,0)/1440,MAX(F$1,MIN(ROUND(F$2*1440-F$3*60,0)/1440,ROUND((F$1+INT((M42-1)/Inputs!$B$7)/((INT((M$3-1-MOD(M42-1,Inputs!$B$7))/Inputs!$B$7)+1)-1)*((ROUND(F$2*1440-F$3*60,0)/1440)-F$1))*96,0)/96)))))))</f>
        <v>0</v>
      </c>
      <c r="U42" s="18" t="n">
        <f aca="false">IF(G42=0,0,IF(Inputs!$D59="Open",G$1,IF(Inputs!$D59="Close",ROUND(G$2*1440-G$3*60,0)/1440,IF(OR(INT((N42-1)/Inputs!$B$7)=0,(INT((N$3-1-MOD(N42-1,Inputs!$B$7))/Inputs!$B$7)+1)&lt;=1),G$1,IF(INT((N42-1)/Inputs!$B$7)&gt;=(INT((N$3-1-MOD(N42-1,Inputs!$B$7))/Inputs!$B$7)+1)-1,ROUND(G$2*1440-G$3*60,0)/1440,MAX(G$1,MIN(ROUND(G$2*1440-G$3*60,0)/1440,ROUND((G$1+INT((N42-1)/Inputs!$B$7)/((INT((N$3-1-MOD(N42-1,Inputs!$B$7))/Inputs!$B$7)+1)-1)*((ROUND(G$2*1440-G$3*60,0)/1440)-G$1))*96,0)/96)))))))</f>
        <v>0</v>
      </c>
      <c r="V42" s="18" t="n">
        <f aca="false">IF(H42=0,0,IF(Inputs!$D59="Open",H$1,IF(Inputs!$D59="Close",ROUND(H$2*1440-H$3*60,0)/1440,IF(OR(INT((O42-1)/Inputs!$B$7)=0,(INT((O$3-1-MOD(O42-1,Inputs!$B$7))/Inputs!$B$7)+1)&lt;=1),H$1,IF(INT((O42-1)/Inputs!$B$7)&gt;=(INT((O$3-1-MOD(O42-1,Inputs!$B$7))/Inputs!$B$7)+1)-1,ROUND(H$2*1440-H$3*60,0)/1440,MAX(H$1,MIN(ROUND(H$2*1440-H$3*60,0)/1440,ROUND((H$1+INT((O42-1)/Inputs!$B$7)/((INT((O$3-1-MOD(O42-1,Inputs!$B$7))/Inputs!$B$7)+1)-1)*((ROUND(H$2*1440-H$3*60,0)/1440)-H$1))*96,0)/96)))))))</f>
        <v>0</v>
      </c>
      <c r="W42" s="18" t="n">
        <f aca="false">IF(I42=0,0,IF(Inputs!$D59="Open",I$1,IF(Inputs!$D59="Close",ROUND(I$2*1440-I$3*60,0)/1440,IF(OR(INT((P42-1)/Inputs!$B$7)=0,(INT((P$3-1-MOD(P42-1,Inputs!$B$7))/Inputs!$B$7)+1)&lt;=1),I$1,IF(INT((P42-1)/Inputs!$B$7)&gt;=(INT((P$3-1-MOD(P42-1,Inputs!$B$7))/Inputs!$B$7)+1)-1,ROUND(I$2*1440-I$3*60,0)/1440,MAX(I$1,MIN(ROUND(I$2*1440-I$3*60,0)/1440,ROUND((I$1+INT((P42-1)/Inputs!$B$7)/((INT((P$3-1-MOD(P42-1,Inputs!$B$7))/Inputs!$B$7)+1)-1)*((ROUND(I$2*1440-I$3*60,0)/1440)-I$1))*96,0)/96)))))))</f>
        <v>0</v>
      </c>
      <c r="X42" s="18" t="n">
        <f aca="false">IF(J42=0,0,IF(Inputs!$D59="Open",J$1,IF(Inputs!$D59="Close",ROUND(J$2*1440-J$3*60,0)/1440,IF(OR(INT((Q42-1)/Inputs!$B$7)=0,(INT((Q$3-1-MOD(Q42-1,Inputs!$B$7))/Inputs!$B$7)+1)&lt;=1),J$1,IF(INT((Q42-1)/Inputs!$B$7)&gt;=(INT((Q$3-1-MOD(Q42-1,Inputs!$B$7))/Inputs!$B$7)+1)-1,ROUND(J$2*1440-J$3*60,0)/1440,MAX(J$1,MIN(ROUND(J$2*1440-J$3*60,0)/1440,ROUND((J$1+INT((Q42-1)/Inputs!$B$7)/((INT((Q$3-1-MOD(Q42-1,Inputs!$B$7))/Inputs!$B$7)+1)-1)*((ROUND(J$2*1440-J$3*60,0)/1440)-J$1))*96,0)/96)))))))</f>
        <v>0</v>
      </c>
      <c r="Y42" s="18" t="n">
        <f aca="false">IF(K42=0,0,IF(Inputs!$D59="Open",K$1,IF(Inputs!$D59="Close",ROUND(K$2*1440-K$3*60,0)/1440,IF(OR(INT((R42-1)/Inputs!$B$7)=0,(INT((R$3-1-MOD(R42-1,Inputs!$B$7))/Inputs!$B$7)+1)&lt;=1),K$1,IF(INT((R42-1)/Inputs!$B$7)&gt;=(INT((R$3-1-MOD(R42-1,Inputs!$B$7))/Inputs!$B$7)+1)-1,ROUND(K$2*1440-K$3*60,0)/1440,MAX(K$1,MIN(ROUND(K$2*1440-K$3*60,0)/1440,ROUND((K$1+INT((R42-1)/Inputs!$B$7)/((INT((R$3-1-MOD(R42-1,Inputs!$B$7))/Inputs!$B$7)+1)-1)*((ROUND(K$2*1440-K$3*60,0)/1440)-K$1))*96,0)/96)))))))</f>
        <v>0</v>
      </c>
      <c r="Z42" s="18" t="n">
        <f aca="false">IF(L42=0,0,IF(Inputs!$D59="Open",L$1,IF(Inputs!$D59="Close",ROUND(L$2*1440-L$3*60,0)/1440,IF(OR(INT((S42-1)/Inputs!$B$7)=0,(INT((S$3-1-MOD(S42-1,Inputs!$B$7))/Inputs!$B$7)+1)&lt;=1),L$1,IF(INT((S42-1)/Inputs!$B$7)&gt;=(INT((S$3-1-MOD(S42-1,Inputs!$B$7))/Inputs!$B$7)+1)-1,ROUND(L$2*1440-L$3*60,0)/1440,MAX(L$1,MIN(ROUND(L$2*1440-L$3*60,0)/1440,ROUND((L$1+INT((S42-1)/Inputs!$B$7)/((INT((S$3-1-MOD(S42-1,Inputs!$B$7))/Inputs!$B$7)+1)-1)*((ROUND(L$2*1440-L$3*60,0)/1440)-L$1))*96,0)/96)))))))</f>
        <v>0</v>
      </c>
      <c r="AA42" s="18" t="n">
        <f aca="false">IF(F42=0,0,ROUND(T42*1440+F$3*60,0)/1440)</f>
        <v>0</v>
      </c>
      <c r="AB42" s="18" t="n">
        <f aca="false">IF(G42=0,0,ROUND(U42*1440+G$3*60,0)/1440)</f>
        <v>0</v>
      </c>
      <c r="AC42" s="18" t="n">
        <f aca="false">IF(H42=0,0,ROUND(V42*1440+H$3*60,0)/1440)</f>
        <v>0</v>
      </c>
      <c r="AD42" s="18" t="n">
        <f aca="false">IF(I42=0,0,ROUND(W42*1440+I$3*60,0)/1440)</f>
        <v>0</v>
      </c>
      <c r="AE42" s="18" t="n">
        <f aca="false">IF(J42=0,0,ROUND(X42*1440+J$3*60,0)/1440)</f>
        <v>0</v>
      </c>
      <c r="AF42" s="18" t="n">
        <f aca="false">IF(K42=0,0,ROUND(Y42*1440+K$3*60,0)/1440)</f>
        <v>0</v>
      </c>
      <c r="AG42" s="18" t="n">
        <f aca="false">IF(L42=0,0,ROUND(Z42*1440+L$3*60,0)/1440)</f>
        <v>0</v>
      </c>
      <c r="AH42" s="19" t="n">
        <f aca="false">SUMPRODUCT((MOD(AO$1:AU$1-0,7)&lt;Inputs!$B$6)*AO$2:AU$2*(AO41:AU41+1))*100+MOD(0-5,7)</f>
        <v>1602</v>
      </c>
      <c r="AI42" s="19" t="n">
        <f aca="false">SUMPRODUCT((MOD(AO$1:AU$1-1,7)&lt;Inputs!$B$6)*AO$2:AU$2*(AO41:AU41+1))*100+MOD(1-5,7)</f>
        <v>1403</v>
      </c>
      <c r="AJ42" s="19" t="n">
        <f aca="false">SUMPRODUCT((MOD(AO$1:AU$1-2,7)&lt;Inputs!$B$6)*AO$2:AU$2*(AO41:AU41+1))*100+MOD(2-5,7)</f>
        <v>1404</v>
      </c>
      <c r="AK42" s="19" t="n">
        <f aca="false">SUMPRODUCT((MOD(AO$1:AU$1-3,7)&lt;Inputs!$B$6)*AO$2:AU$2*(AO41:AU41+1))*100+MOD(3-5,7)</f>
        <v>1405</v>
      </c>
      <c r="AL42" s="19" t="n">
        <f aca="false">SUMPRODUCT((MOD(AO$1:AU$1-4,7)&lt;Inputs!$B$6)*AO$2:AU$2*(AO41:AU41+1))*100+MOD(4-5,7)</f>
        <v>1406</v>
      </c>
      <c r="AM42" s="19" t="n">
        <f aca="false">SUMPRODUCT((MOD(AO$1:AU$1-5,7)&lt;Inputs!$B$6)*AO$2:AU$2*(AO41:AU41+1))*100+MOD(5-5,7)</f>
        <v>1800</v>
      </c>
      <c r="AN42" s="19" t="n">
        <f aca="false">SUMPRODUCT((MOD(AO$1:AU$1-6,7)&lt;Inputs!$B$6)*AO$2:AU$2*(AO41:AU41+1))*100+MOD(6-5,7)</f>
        <v>1801</v>
      </c>
      <c r="AO42" s="19" t="n">
        <f aca="false">AO41+IF($B42=1,IF(MOD(0-$D42,7)&lt;Inputs!$B$6,1,0),0)</f>
        <v>3</v>
      </c>
      <c r="AP42" s="19" t="n">
        <f aca="false">AP41+IF($B42=1,IF(MOD(1-$D42,7)&lt;Inputs!$B$6,1,0),0)</f>
        <v>3</v>
      </c>
      <c r="AQ42" s="19" t="n">
        <f aca="false">AQ41+IF($B42=1,IF(MOD(2-$D42,7)&lt;Inputs!$B$6,1,0),0)</f>
        <v>2</v>
      </c>
      <c r="AR42" s="19" t="n">
        <f aca="false">AR41+IF($B42=1,IF(MOD(3-$D42,7)&lt;Inputs!$B$6,1,0),0)</f>
        <v>3</v>
      </c>
      <c r="AS42" s="19" t="n">
        <f aca="false">AS41+IF($B42=1,IF(MOD(4-$D42,7)&lt;Inputs!$B$6,1,0),0)</f>
        <v>2</v>
      </c>
      <c r="AT42" s="19" t="n">
        <f aca="false">AT41+IF($B42=1,IF(MOD(5-$D42,7)&lt;Inputs!$B$6,1,0),0)</f>
        <v>3</v>
      </c>
      <c r="AU42" s="19" t="n">
        <f aca="false">AU41+IF($B42=1,IF(MOD(6-$D42,7)&lt;Inputs!$B$6,1,0),0)</f>
        <v>4</v>
      </c>
    </row>
    <row r="43" customFormat="false" ht="15" hidden="false" customHeight="false" outlineLevel="0" collapsed="false">
      <c r="A43" s="0" t="n">
        <v>38</v>
      </c>
      <c r="B43" s="0" t="n">
        <f aca="false">IF(A43&lt;=Inputs!$B$3,1,0)</f>
        <v>0</v>
      </c>
      <c r="C43" s="0" t="n">
        <f aca="false">MOD(5+MOD(A43-1,7),7)</f>
        <v>0</v>
      </c>
      <c r="D43" s="0" t="n">
        <f aca="false">IF(Inputs!C60&lt;&gt;"",MATCH(Inputs!C60,Inputs!$A$11:$A$17,0)-1,IF(B43=0,0,MATCH(MIN(AH43:AN43),AH43:AN43,0)-1))</f>
        <v>0</v>
      </c>
      <c r="F43" s="0" t="n">
        <f aca="false">IF(OR($B43=0,F$3=0),0,IF(MOD(0-$D43,7)&lt;Inputs!$B$6,0,1))</f>
        <v>0</v>
      </c>
      <c r="G43" s="0" t="n">
        <f aca="false">IF(OR($B43=0,G$3=0),0,IF(MOD(1-$D43,7)&lt;Inputs!$B$6,0,1))</f>
        <v>0</v>
      </c>
      <c r="H43" s="0" t="n">
        <f aca="false">IF(OR($B43=0,H$3=0),0,IF(MOD(2-$D43,7)&lt;Inputs!$B$6,0,1))</f>
        <v>0</v>
      </c>
      <c r="I43" s="0" t="n">
        <f aca="false">IF(OR($B43=0,I$3=0),0,IF(MOD(3-$D43,7)&lt;Inputs!$B$6,0,1))</f>
        <v>0</v>
      </c>
      <c r="J43" s="0" t="n">
        <f aca="false">IF(OR($B43=0,J$3=0),0,IF(MOD(4-$D43,7)&lt;Inputs!$B$6,0,1))</f>
        <v>0</v>
      </c>
      <c r="K43" s="0" t="n">
        <f aca="false">IF(OR($B43=0,K$3=0),0,IF(MOD(5-$D43,7)&lt;Inputs!$B$6,0,1))</f>
        <v>0</v>
      </c>
      <c r="L43" s="0" t="n">
        <f aca="false">IF(OR($B43=0,L$3=0),0,IF(MOD(6-$D43,7)&lt;Inputs!$B$6,0,1))</f>
        <v>0</v>
      </c>
      <c r="M43" s="0" t="n">
        <f aca="false">SUM(F$6:F43)</f>
        <v>7</v>
      </c>
      <c r="N43" s="0" t="n">
        <f aca="false">SUM(G$6:G43)</f>
        <v>7</v>
      </c>
      <c r="O43" s="0" t="n">
        <f aca="false">SUM(H$6:H43)</f>
        <v>8</v>
      </c>
      <c r="P43" s="0" t="n">
        <f aca="false">SUM(I$6:I43)</f>
        <v>7</v>
      </c>
      <c r="Q43" s="0" t="n">
        <f aca="false">SUM(J$6:J43)</f>
        <v>8</v>
      </c>
      <c r="R43" s="0" t="n">
        <f aca="false">SUM(K$6:K43)</f>
        <v>7</v>
      </c>
      <c r="S43" s="0" t="n">
        <f aca="false">SUM(L$6:L43)</f>
        <v>6</v>
      </c>
      <c r="T43" s="18" t="n">
        <f aca="false">IF(F43=0,0,IF(Inputs!$D60="Open",F$1,IF(Inputs!$D60="Close",ROUND(F$2*1440-F$3*60,0)/1440,IF(OR(INT((M43-1)/Inputs!$B$7)=0,(INT((M$3-1-MOD(M43-1,Inputs!$B$7))/Inputs!$B$7)+1)&lt;=1),F$1,IF(INT((M43-1)/Inputs!$B$7)&gt;=(INT((M$3-1-MOD(M43-1,Inputs!$B$7))/Inputs!$B$7)+1)-1,ROUND(F$2*1440-F$3*60,0)/1440,MAX(F$1,MIN(ROUND(F$2*1440-F$3*60,0)/1440,ROUND((F$1+INT((M43-1)/Inputs!$B$7)/((INT((M$3-1-MOD(M43-1,Inputs!$B$7))/Inputs!$B$7)+1)-1)*((ROUND(F$2*1440-F$3*60,0)/1440)-F$1))*96,0)/96)))))))</f>
        <v>0</v>
      </c>
      <c r="U43" s="18" t="n">
        <f aca="false">IF(G43=0,0,IF(Inputs!$D60="Open",G$1,IF(Inputs!$D60="Close",ROUND(G$2*1440-G$3*60,0)/1440,IF(OR(INT((N43-1)/Inputs!$B$7)=0,(INT((N$3-1-MOD(N43-1,Inputs!$B$7))/Inputs!$B$7)+1)&lt;=1),G$1,IF(INT((N43-1)/Inputs!$B$7)&gt;=(INT((N$3-1-MOD(N43-1,Inputs!$B$7))/Inputs!$B$7)+1)-1,ROUND(G$2*1440-G$3*60,0)/1440,MAX(G$1,MIN(ROUND(G$2*1440-G$3*60,0)/1440,ROUND((G$1+INT((N43-1)/Inputs!$B$7)/((INT((N$3-1-MOD(N43-1,Inputs!$B$7))/Inputs!$B$7)+1)-1)*((ROUND(G$2*1440-G$3*60,0)/1440)-G$1))*96,0)/96)))))))</f>
        <v>0</v>
      </c>
      <c r="V43" s="18" t="n">
        <f aca="false">IF(H43=0,0,IF(Inputs!$D60="Open",H$1,IF(Inputs!$D60="Close",ROUND(H$2*1440-H$3*60,0)/1440,IF(OR(INT((O43-1)/Inputs!$B$7)=0,(INT((O$3-1-MOD(O43-1,Inputs!$B$7))/Inputs!$B$7)+1)&lt;=1),H$1,IF(INT((O43-1)/Inputs!$B$7)&gt;=(INT((O$3-1-MOD(O43-1,Inputs!$B$7))/Inputs!$B$7)+1)-1,ROUND(H$2*1440-H$3*60,0)/1440,MAX(H$1,MIN(ROUND(H$2*1440-H$3*60,0)/1440,ROUND((H$1+INT((O43-1)/Inputs!$B$7)/((INT((O$3-1-MOD(O43-1,Inputs!$B$7))/Inputs!$B$7)+1)-1)*((ROUND(H$2*1440-H$3*60,0)/1440)-H$1))*96,0)/96)))))))</f>
        <v>0</v>
      </c>
      <c r="W43" s="18" t="n">
        <f aca="false">IF(I43=0,0,IF(Inputs!$D60="Open",I$1,IF(Inputs!$D60="Close",ROUND(I$2*1440-I$3*60,0)/1440,IF(OR(INT((P43-1)/Inputs!$B$7)=0,(INT((P$3-1-MOD(P43-1,Inputs!$B$7))/Inputs!$B$7)+1)&lt;=1),I$1,IF(INT((P43-1)/Inputs!$B$7)&gt;=(INT((P$3-1-MOD(P43-1,Inputs!$B$7))/Inputs!$B$7)+1)-1,ROUND(I$2*1440-I$3*60,0)/1440,MAX(I$1,MIN(ROUND(I$2*1440-I$3*60,0)/1440,ROUND((I$1+INT((P43-1)/Inputs!$B$7)/((INT((P$3-1-MOD(P43-1,Inputs!$B$7))/Inputs!$B$7)+1)-1)*((ROUND(I$2*1440-I$3*60,0)/1440)-I$1))*96,0)/96)))))))</f>
        <v>0</v>
      </c>
      <c r="X43" s="18" t="n">
        <f aca="false">IF(J43=0,0,IF(Inputs!$D60="Open",J$1,IF(Inputs!$D60="Close",ROUND(J$2*1440-J$3*60,0)/1440,IF(OR(INT((Q43-1)/Inputs!$B$7)=0,(INT((Q$3-1-MOD(Q43-1,Inputs!$B$7))/Inputs!$B$7)+1)&lt;=1),J$1,IF(INT((Q43-1)/Inputs!$B$7)&gt;=(INT((Q$3-1-MOD(Q43-1,Inputs!$B$7))/Inputs!$B$7)+1)-1,ROUND(J$2*1440-J$3*60,0)/1440,MAX(J$1,MIN(ROUND(J$2*1440-J$3*60,0)/1440,ROUND((J$1+INT((Q43-1)/Inputs!$B$7)/((INT((Q$3-1-MOD(Q43-1,Inputs!$B$7))/Inputs!$B$7)+1)-1)*((ROUND(J$2*1440-J$3*60,0)/1440)-J$1))*96,0)/96)))))))</f>
        <v>0</v>
      </c>
      <c r="Y43" s="18" t="n">
        <f aca="false">IF(K43=0,0,IF(Inputs!$D60="Open",K$1,IF(Inputs!$D60="Close",ROUND(K$2*1440-K$3*60,0)/1440,IF(OR(INT((R43-1)/Inputs!$B$7)=0,(INT((R$3-1-MOD(R43-1,Inputs!$B$7))/Inputs!$B$7)+1)&lt;=1),K$1,IF(INT((R43-1)/Inputs!$B$7)&gt;=(INT((R$3-1-MOD(R43-1,Inputs!$B$7))/Inputs!$B$7)+1)-1,ROUND(K$2*1440-K$3*60,0)/1440,MAX(K$1,MIN(ROUND(K$2*1440-K$3*60,0)/1440,ROUND((K$1+INT((R43-1)/Inputs!$B$7)/((INT((R$3-1-MOD(R43-1,Inputs!$B$7))/Inputs!$B$7)+1)-1)*((ROUND(K$2*1440-K$3*60,0)/1440)-K$1))*96,0)/96)))))))</f>
        <v>0</v>
      </c>
      <c r="Z43" s="18" t="n">
        <f aca="false">IF(L43=0,0,IF(Inputs!$D60="Open",L$1,IF(Inputs!$D60="Close",ROUND(L$2*1440-L$3*60,0)/1440,IF(OR(INT((S43-1)/Inputs!$B$7)=0,(INT((S$3-1-MOD(S43-1,Inputs!$B$7))/Inputs!$B$7)+1)&lt;=1),L$1,IF(INT((S43-1)/Inputs!$B$7)&gt;=(INT((S$3-1-MOD(S43-1,Inputs!$B$7))/Inputs!$B$7)+1)-1,ROUND(L$2*1440-L$3*60,0)/1440,MAX(L$1,MIN(ROUND(L$2*1440-L$3*60,0)/1440,ROUND((L$1+INT((S43-1)/Inputs!$B$7)/((INT((S$3-1-MOD(S43-1,Inputs!$B$7))/Inputs!$B$7)+1)-1)*((ROUND(L$2*1440-L$3*60,0)/1440)-L$1))*96,0)/96)))))))</f>
        <v>0</v>
      </c>
      <c r="AA43" s="18" t="n">
        <f aca="false">IF(F43=0,0,ROUND(T43*1440+F$3*60,0)/1440)</f>
        <v>0</v>
      </c>
      <c r="AB43" s="18" t="n">
        <f aca="false">IF(G43=0,0,ROUND(U43*1440+G$3*60,0)/1440)</f>
        <v>0</v>
      </c>
      <c r="AC43" s="18" t="n">
        <f aca="false">IF(H43=0,0,ROUND(V43*1440+H$3*60,0)/1440)</f>
        <v>0</v>
      </c>
      <c r="AD43" s="18" t="n">
        <f aca="false">IF(I43=0,0,ROUND(W43*1440+I$3*60,0)/1440)</f>
        <v>0</v>
      </c>
      <c r="AE43" s="18" t="n">
        <f aca="false">IF(J43=0,0,ROUND(X43*1440+J$3*60,0)/1440)</f>
        <v>0</v>
      </c>
      <c r="AF43" s="18" t="n">
        <f aca="false">IF(K43=0,0,ROUND(Y43*1440+K$3*60,0)/1440)</f>
        <v>0</v>
      </c>
      <c r="AG43" s="18" t="n">
        <f aca="false">IF(L43=0,0,ROUND(Z43*1440+L$3*60,0)/1440)</f>
        <v>0</v>
      </c>
      <c r="AH43" s="19" t="n">
        <f aca="false">SUMPRODUCT((MOD(AO$1:AU$1-0,7)&lt;Inputs!$B$6)*AO$2:AU$2*(AO42:AU42+1))*100+MOD(0-5,7)</f>
        <v>1602</v>
      </c>
      <c r="AI43" s="19" t="n">
        <f aca="false">SUMPRODUCT((MOD(AO$1:AU$1-1,7)&lt;Inputs!$B$6)*AO$2:AU$2*(AO42:AU42+1))*100+MOD(1-5,7)</f>
        <v>1403</v>
      </c>
      <c r="AJ43" s="19" t="n">
        <f aca="false">SUMPRODUCT((MOD(AO$1:AU$1-2,7)&lt;Inputs!$B$6)*AO$2:AU$2*(AO42:AU42+1))*100+MOD(2-5,7)</f>
        <v>1404</v>
      </c>
      <c r="AK43" s="19" t="n">
        <f aca="false">SUMPRODUCT((MOD(AO$1:AU$1-3,7)&lt;Inputs!$B$6)*AO$2:AU$2*(AO42:AU42+1))*100+MOD(3-5,7)</f>
        <v>1405</v>
      </c>
      <c r="AL43" s="19" t="n">
        <f aca="false">SUMPRODUCT((MOD(AO$1:AU$1-4,7)&lt;Inputs!$B$6)*AO$2:AU$2*(AO42:AU42+1))*100+MOD(4-5,7)</f>
        <v>1406</v>
      </c>
      <c r="AM43" s="19" t="n">
        <f aca="false">SUMPRODUCT((MOD(AO$1:AU$1-5,7)&lt;Inputs!$B$6)*AO$2:AU$2*(AO42:AU42+1))*100+MOD(5-5,7)</f>
        <v>1800</v>
      </c>
      <c r="AN43" s="19" t="n">
        <f aca="false">SUMPRODUCT((MOD(AO$1:AU$1-6,7)&lt;Inputs!$B$6)*AO$2:AU$2*(AO42:AU42+1))*100+MOD(6-5,7)</f>
        <v>1801</v>
      </c>
      <c r="AO43" s="19" t="n">
        <f aca="false">AO42+IF($B43=1,IF(MOD(0-$D43,7)&lt;Inputs!$B$6,1,0),0)</f>
        <v>3</v>
      </c>
      <c r="AP43" s="19" t="n">
        <f aca="false">AP42+IF($B43=1,IF(MOD(1-$D43,7)&lt;Inputs!$B$6,1,0),0)</f>
        <v>3</v>
      </c>
      <c r="AQ43" s="19" t="n">
        <f aca="false">AQ42+IF($B43=1,IF(MOD(2-$D43,7)&lt;Inputs!$B$6,1,0),0)</f>
        <v>2</v>
      </c>
      <c r="AR43" s="19" t="n">
        <f aca="false">AR42+IF($B43=1,IF(MOD(3-$D43,7)&lt;Inputs!$B$6,1,0),0)</f>
        <v>3</v>
      </c>
      <c r="AS43" s="19" t="n">
        <f aca="false">AS42+IF($B43=1,IF(MOD(4-$D43,7)&lt;Inputs!$B$6,1,0),0)</f>
        <v>2</v>
      </c>
      <c r="AT43" s="19" t="n">
        <f aca="false">AT42+IF($B43=1,IF(MOD(5-$D43,7)&lt;Inputs!$B$6,1,0),0)</f>
        <v>3</v>
      </c>
      <c r="AU43" s="19" t="n">
        <f aca="false">AU42+IF($B43=1,IF(MOD(6-$D43,7)&lt;Inputs!$B$6,1,0),0)</f>
        <v>4</v>
      </c>
    </row>
    <row r="44" customFormat="false" ht="15" hidden="false" customHeight="false" outlineLevel="0" collapsed="false">
      <c r="A44" s="0" t="n">
        <v>39</v>
      </c>
      <c r="B44" s="0" t="n">
        <f aca="false">IF(A44&lt;=Inputs!$B$3,1,0)</f>
        <v>0</v>
      </c>
      <c r="C44" s="0" t="n">
        <f aca="false">MOD(5+MOD(A44-1,7),7)</f>
        <v>1</v>
      </c>
      <c r="D44" s="0" t="n">
        <f aca="false">IF(Inputs!C61&lt;&gt;"",MATCH(Inputs!C61,Inputs!$A$11:$A$17,0)-1,IF(B44=0,0,MATCH(MIN(AH44:AN44),AH44:AN44,0)-1))</f>
        <v>0</v>
      </c>
      <c r="F44" s="0" t="n">
        <f aca="false">IF(OR($B44=0,F$3=0),0,IF(MOD(0-$D44,7)&lt;Inputs!$B$6,0,1))</f>
        <v>0</v>
      </c>
      <c r="G44" s="0" t="n">
        <f aca="false">IF(OR($B44=0,G$3=0),0,IF(MOD(1-$D44,7)&lt;Inputs!$B$6,0,1))</f>
        <v>0</v>
      </c>
      <c r="H44" s="0" t="n">
        <f aca="false">IF(OR($B44=0,H$3=0),0,IF(MOD(2-$D44,7)&lt;Inputs!$B$6,0,1))</f>
        <v>0</v>
      </c>
      <c r="I44" s="0" t="n">
        <f aca="false">IF(OR($B44=0,I$3=0),0,IF(MOD(3-$D44,7)&lt;Inputs!$B$6,0,1))</f>
        <v>0</v>
      </c>
      <c r="J44" s="0" t="n">
        <f aca="false">IF(OR($B44=0,J$3=0),0,IF(MOD(4-$D44,7)&lt;Inputs!$B$6,0,1))</f>
        <v>0</v>
      </c>
      <c r="K44" s="0" t="n">
        <f aca="false">IF(OR($B44=0,K$3=0),0,IF(MOD(5-$D44,7)&lt;Inputs!$B$6,0,1))</f>
        <v>0</v>
      </c>
      <c r="L44" s="0" t="n">
        <f aca="false">IF(OR($B44=0,L$3=0),0,IF(MOD(6-$D44,7)&lt;Inputs!$B$6,0,1))</f>
        <v>0</v>
      </c>
      <c r="M44" s="0" t="n">
        <f aca="false">SUM(F$6:F44)</f>
        <v>7</v>
      </c>
      <c r="N44" s="0" t="n">
        <f aca="false">SUM(G$6:G44)</f>
        <v>7</v>
      </c>
      <c r="O44" s="0" t="n">
        <f aca="false">SUM(H$6:H44)</f>
        <v>8</v>
      </c>
      <c r="P44" s="0" t="n">
        <f aca="false">SUM(I$6:I44)</f>
        <v>7</v>
      </c>
      <c r="Q44" s="0" t="n">
        <f aca="false">SUM(J$6:J44)</f>
        <v>8</v>
      </c>
      <c r="R44" s="0" t="n">
        <f aca="false">SUM(K$6:K44)</f>
        <v>7</v>
      </c>
      <c r="S44" s="0" t="n">
        <f aca="false">SUM(L$6:L44)</f>
        <v>6</v>
      </c>
      <c r="T44" s="18" t="n">
        <f aca="false">IF(F44=0,0,IF(Inputs!$D61="Open",F$1,IF(Inputs!$D61="Close",ROUND(F$2*1440-F$3*60,0)/1440,IF(OR(INT((M44-1)/Inputs!$B$7)=0,(INT((M$3-1-MOD(M44-1,Inputs!$B$7))/Inputs!$B$7)+1)&lt;=1),F$1,IF(INT((M44-1)/Inputs!$B$7)&gt;=(INT((M$3-1-MOD(M44-1,Inputs!$B$7))/Inputs!$B$7)+1)-1,ROUND(F$2*1440-F$3*60,0)/1440,MAX(F$1,MIN(ROUND(F$2*1440-F$3*60,0)/1440,ROUND((F$1+INT((M44-1)/Inputs!$B$7)/((INT((M$3-1-MOD(M44-1,Inputs!$B$7))/Inputs!$B$7)+1)-1)*((ROUND(F$2*1440-F$3*60,0)/1440)-F$1))*96,0)/96)))))))</f>
        <v>0</v>
      </c>
      <c r="U44" s="18" t="n">
        <f aca="false">IF(G44=0,0,IF(Inputs!$D61="Open",G$1,IF(Inputs!$D61="Close",ROUND(G$2*1440-G$3*60,0)/1440,IF(OR(INT((N44-1)/Inputs!$B$7)=0,(INT((N$3-1-MOD(N44-1,Inputs!$B$7))/Inputs!$B$7)+1)&lt;=1),G$1,IF(INT((N44-1)/Inputs!$B$7)&gt;=(INT((N$3-1-MOD(N44-1,Inputs!$B$7))/Inputs!$B$7)+1)-1,ROUND(G$2*1440-G$3*60,0)/1440,MAX(G$1,MIN(ROUND(G$2*1440-G$3*60,0)/1440,ROUND((G$1+INT((N44-1)/Inputs!$B$7)/((INT((N$3-1-MOD(N44-1,Inputs!$B$7))/Inputs!$B$7)+1)-1)*((ROUND(G$2*1440-G$3*60,0)/1440)-G$1))*96,0)/96)))))))</f>
        <v>0</v>
      </c>
      <c r="V44" s="18" t="n">
        <f aca="false">IF(H44=0,0,IF(Inputs!$D61="Open",H$1,IF(Inputs!$D61="Close",ROUND(H$2*1440-H$3*60,0)/1440,IF(OR(INT((O44-1)/Inputs!$B$7)=0,(INT((O$3-1-MOD(O44-1,Inputs!$B$7))/Inputs!$B$7)+1)&lt;=1),H$1,IF(INT((O44-1)/Inputs!$B$7)&gt;=(INT((O$3-1-MOD(O44-1,Inputs!$B$7))/Inputs!$B$7)+1)-1,ROUND(H$2*1440-H$3*60,0)/1440,MAX(H$1,MIN(ROUND(H$2*1440-H$3*60,0)/1440,ROUND((H$1+INT((O44-1)/Inputs!$B$7)/((INT((O$3-1-MOD(O44-1,Inputs!$B$7))/Inputs!$B$7)+1)-1)*((ROUND(H$2*1440-H$3*60,0)/1440)-H$1))*96,0)/96)))))))</f>
        <v>0</v>
      </c>
      <c r="W44" s="18" t="n">
        <f aca="false">IF(I44=0,0,IF(Inputs!$D61="Open",I$1,IF(Inputs!$D61="Close",ROUND(I$2*1440-I$3*60,0)/1440,IF(OR(INT((P44-1)/Inputs!$B$7)=0,(INT((P$3-1-MOD(P44-1,Inputs!$B$7))/Inputs!$B$7)+1)&lt;=1),I$1,IF(INT((P44-1)/Inputs!$B$7)&gt;=(INT((P$3-1-MOD(P44-1,Inputs!$B$7))/Inputs!$B$7)+1)-1,ROUND(I$2*1440-I$3*60,0)/1440,MAX(I$1,MIN(ROUND(I$2*1440-I$3*60,0)/1440,ROUND((I$1+INT((P44-1)/Inputs!$B$7)/((INT((P$3-1-MOD(P44-1,Inputs!$B$7))/Inputs!$B$7)+1)-1)*((ROUND(I$2*1440-I$3*60,0)/1440)-I$1))*96,0)/96)))))))</f>
        <v>0</v>
      </c>
      <c r="X44" s="18" t="n">
        <f aca="false">IF(J44=0,0,IF(Inputs!$D61="Open",J$1,IF(Inputs!$D61="Close",ROUND(J$2*1440-J$3*60,0)/1440,IF(OR(INT((Q44-1)/Inputs!$B$7)=0,(INT((Q$3-1-MOD(Q44-1,Inputs!$B$7))/Inputs!$B$7)+1)&lt;=1),J$1,IF(INT((Q44-1)/Inputs!$B$7)&gt;=(INT((Q$3-1-MOD(Q44-1,Inputs!$B$7))/Inputs!$B$7)+1)-1,ROUND(J$2*1440-J$3*60,0)/1440,MAX(J$1,MIN(ROUND(J$2*1440-J$3*60,0)/1440,ROUND((J$1+INT((Q44-1)/Inputs!$B$7)/((INT((Q$3-1-MOD(Q44-1,Inputs!$B$7))/Inputs!$B$7)+1)-1)*((ROUND(J$2*1440-J$3*60,0)/1440)-J$1))*96,0)/96)))))))</f>
        <v>0</v>
      </c>
      <c r="Y44" s="18" t="n">
        <f aca="false">IF(K44=0,0,IF(Inputs!$D61="Open",K$1,IF(Inputs!$D61="Close",ROUND(K$2*1440-K$3*60,0)/1440,IF(OR(INT((R44-1)/Inputs!$B$7)=0,(INT((R$3-1-MOD(R44-1,Inputs!$B$7))/Inputs!$B$7)+1)&lt;=1),K$1,IF(INT((R44-1)/Inputs!$B$7)&gt;=(INT((R$3-1-MOD(R44-1,Inputs!$B$7))/Inputs!$B$7)+1)-1,ROUND(K$2*1440-K$3*60,0)/1440,MAX(K$1,MIN(ROUND(K$2*1440-K$3*60,0)/1440,ROUND((K$1+INT((R44-1)/Inputs!$B$7)/((INT((R$3-1-MOD(R44-1,Inputs!$B$7))/Inputs!$B$7)+1)-1)*((ROUND(K$2*1440-K$3*60,0)/1440)-K$1))*96,0)/96)))))))</f>
        <v>0</v>
      </c>
      <c r="Z44" s="18" t="n">
        <f aca="false">IF(L44=0,0,IF(Inputs!$D61="Open",L$1,IF(Inputs!$D61="Close",ROUND(L$2*1440-L$3*60,0)/1440,IF(OR(INT((S44-1)/Inputs!$B$7)=0,(INT((S$3-1-MOD(S44-1,Inputs!$B$7))/Inputs!$B$7)+1)&lt;=1),L$1,IF(INT((S44-1)/Inputs!$B$7)&gt;=(INT((S$3-1-MOD(S44-1,Inputs!$B$7))/Inputs!$B$7)+1)-1,ROUND(L$2*1440-L$3*60,0)/1440,MAX(L$1,MIN(ROUND(L$2*1440-L$3*60,0)/1440,ROUND((L$1+INT((S44-1)/Inputs!$B$7)/((INT((S$3-1-MOD(S44-1,Inputs!$B$7))/Inputs!$B$7)+1)-1)*((ROUND(L$2*1440-L$3*60,0)/1440)-L$1))*96,0)/96)))))))</f>
        <v>0</v>
      </c>
      <c r="AA44" s="18" t="n">
        <f aca="false">IF(F44=0,0,ROUND(T44*1440+F$3*60,0)/1440)</f>
        <v>0</v>
      </c>
      <c r="AB44" s="18" t="n">
        <f aca="false">IF(G44=0,0,ROUND(U44*1440+G$3*60,0)/1440)</f>
        <v>0</v>
      </c>
      <c r="AC44" s="18" t="n">
        <f aca="false">IF(H44=0,0,ROUND(V44*1440+H$3*60,0)/1440)</f>
        <v>0</v>
      </c>
      <c r="AD44" s="18" t="n">
        <f aca="false">IF(I44=0,0,ROUND(W44*1440+I$3*60,0)/1440)</f>
        <v>0</v>
      </c>
      <c r="AE44" s="18" t="n">
        <f aca="false">IF(J44=0,0,ROUND(X44*1440+J$3*60,0)/1440)</f>
        <v>0</v>
      </c>
      <c r="AF44" s="18" t="n">
        <f aca="false">IF(K44=0,0,ROUND(Y44*1440+K$3*60,0)/1440)</f>
        <v>0</v>
      </c>
      <c r="AG44" s="18" t="n">
        <f aca="false">IF(L44=0,0,ROUND(Z44*1440+L$3*60,0)/1440)</f>
        <v>0</v>
      </c>
      <c r="AH44" s="19" t="n">
        <f aca="false">SUMPRODUCT((MOD(AO$1:AU$1-0,7)&lt;Inputs!$B$6)*AO$2:AU$2*(AO43:AU43+1))*100+MOD(0-5,7)</f>
        <v>1602</v>
      </c>
      <c r="AI44" s="19" t="n">
        <f aca="false">SUMPRODUCT((MOD(AO$1:AU$1-1,7)&lt;Inputs!$B$6)*AO$2:AU$2*(AO43:AU43+1))*100+MOD(1-5,7)</f>
        <v>1403</v>
      </c>
      <c r="AJ44" s="19" t="n">
        <f aca="false">SUMPRODUCT((MOD(AO$1:AU$1-2,7)&lt;Inputs!$B$6)*AO$2:AU$2*(AO43:AU43+1))*100+MOD(2-5,7)</f>
        <v>1404</v>
      </c>
      <c r="AK44" s="19" t="n">
        <f aca="false">SUMPRODUCT((MOD(AO$1:AU$1-3,7)&lt;Inputs!$B$6)*AO$2:AU$2*(AO43:AU43+1))*100+MOD(3-5,7)</f>
        <v>1405</v>
      </c>
      <c r="AL44" s="19" t="n">
        <f aca="false">SUMPRODUCT((MOD(AO$1:AU$1-4,7)&lt;Inputs!$B$6)*AO$2:AU$2*(AO43:AU43+1))*100+MOD(4-5,7)</f>
        <v>1406</v>
      </c>
      <c r="AM44" s="19" t="n">
        <f aca="false">SUMPRODUCT((MOD(AO$1:AU$1-5,7)&lt;Inputs!$B$6)*AO$2:AU$2*(AO43:AU43+1))*100+MOD(5-5,7)</f>
        <v>1800</v>
      </c>
      <c r="AN44" s="19" t="n">
        <f aca="false">SUMPRODUCT((MOD(AO$1:AU$1-6,7)&lt;Inputs!$B$6)*AO$2:AU$2*(AO43:AU43+1))*100+MOD(6-5,7)</f>
        <v>1801</v>
      </c>
      <c r="AO44" s="19" t="n">
        <f aca="false">AO43+IF($B44=1,IF(MOD(0-$D44,7)&lt;Inputs!$B$6,1,0),0)</f>
        <v>3</v>
      </c>
      <c r="AP44" s="19" t="n">
        <f aca="false">AP43+IF($B44=1,IF(MOD(1-$D44,7)&lt;Inputs!$B$6,1,0),0)</f>
        <v>3</v>
      </c>
      <c r="AQ44" s="19" t="n">
        <f aca="false">AQ43+IF($B44=1,IF(MOD(2-$D44,7)&lt;Inputs!$B$6,1,0),0)</f>
        <v>2</v>
      </c>
      <c r="AR44" s="19" t="n">
        <f aca="false">AR43+IF($B44=1,IF(MOD(3-$D44,7)&lt;Inputs!$B$6,1,0),0)</f>
        <v>3</v>
      </c>
      <c r="AS44" s="19" t="n">
        <f aca="false">AS43+IF($B44=1,IF(MOD(4-$D44,7)&lt;Inputs!$B$6,1,0),0)</f>
        <v>2</v>
      </c>
      <c r="AT44" s="19" t="n">
        <f aca="false">AT43+IF($B44=1,IF(MOD(5-$D44,7)&lt;Inputs!$B$6,1,0),0)</f>
        <v>3</v>
      </c>
      <c r="AU44" s="19" t="n">
        <f aca="false">AU43+IF($B44=1,IF(MOD(6-$D44,7)&lt;Inputs!$B$6,1,0),0)</f>
        <v>4</v>
      </c>
    </row>
    <row r="45" customFormat="false" ht="15" hidden="false" customHeight="false" outlineLevel="0" collapsed="false">
      <c r="A45" s="0" t="n">
        <v>40</v>
      </c>
      <c r="B45" s="0" t="n">
        <f aca="false">IF(A45&lt;=Inputs!$B$3,1,0)</f>
        <v>0</v>
      </c>
      <c r="C45" s="0" t="n">
        <f aca="false">MOD(5+MOD(A45-1,7),7)</f>
        <v>2</v>
      </c>
      <c r="D45" s="0" t="n">
        <f aca="false">IF(Inputs!C62&lt;&gt;"",MATCH(Inputs!C62,Inputs!$A$11:$A$17,0)-1,IF(B45=0,0,MATCH(MIN(AH45:AN45),AH45:AN45,0)-1))</f>
        <v>0</v>
      </c>
      <c r="F45" s="0" t="n">
        <f aca="false">IF(OR($B45=0,F$3=0),0,IF(MOD(0-$D45,7)&lt;Inputs!$B$6,0,1))</f>
        <v>0</v>
      </c>
      <c r="G45" s="0" t="n">
        <f aca="false">IF(OR($B45=0,G$3=0),0,IF(MOD(1-$D45,7)&lt;Inputs!$B$6,0,1))</f>
        <v>0</v>
      </c>
      <c r="H45" s="0" t="n">
        <f aca="false">IF(OR($B45=0,H$3=0),0,IF(MOD(2-$D45,7)&lt;Inputs!$B$6,0,1))</f>
        <v>0</v>
      </c>
      <c r="I45" s="0" t="n">
        <f aca="false">IF(OR($B45=0,I$3=0),0,IF(MOD(3-$D45,7)&lt;Inputs!$B$6,0,1))</f>
        <v>0</v>
      </c>
      <c r="J45" s="0" t="n">
        <f aca="false">IF(OR($B45=0,J$3=0),0,IF(MOD(4-$D45,7)&lt;Inputs!$B$6,0,1))</f>
        <v>0</v>
      </c>
      <c r="K45" s="0" t="n">
        <f aca="false">IF(OR($B45=0,K$3=0),0,IF(MOD(5-$D45,7)&lt;Inputs!$B$6,0,1))</f>
        <v>0</v>
      </c>
      <c r="L45" s="0" t="n">
        <f aca="false">IF(OR($B45=0,L$3=0),0,IF(MOD(6-$D45,7)&lt;Inputs!$B$6,0,1))</f>
        <v>0</v>
      </c>
      <c r="M45" s="0" t="n">
        <f aca="false">SUM(F$6:F45)</f>
        <v>7</v>
      </c>
      <c r="N45" s="0" t="n">
        <f aca="false">SUM(G$6:G45)</f>
        <v>7</v>
      </c>
      <c r="O45" s="0" t="n">
        <f aca="false">SUM(H$6:H45)</f>
        <v>8</v>
      </c>
      <c r="P45" s="0" t="n">
        <f aca="false">SUM(I$6:I45)</f>
        <v>7</v>
      </c>
      <c r="Q45" s="0" t="n">
        <f aca="false">SUM(J$6:J45)</f>
        <v>8</v>
      </c>
      <c r="R45" s="0" t="n">
        <f aca="false">SUM(K$6:K45)</f>
        <v>7</v>
      </c>
      <c r="S45" s="0" t="n">
        <f aca="false">SUM(L$6:L45)</f>
        <v>6</v>
      </c>
      <c r="T45" s="18" t="n">
        <f aca="false">IF(F45=0,0,IF(Inputs!$D62="Open",F$1,IF(Inputs!$D62="Close",ROUND(F$2*1440-F$3*60,0)/1440,IF(OR(INT((M45-1)/Inputs!$B$7)=0,(INT((M$3-1-MOD(M45-1,Inputs!$B$7))/Inputs!$B$7)+1)&lt;=1),F$1,IF(INT((M45-1)/Inputs!$B$7)&gt;=(INT((M$3-1-MOD(M45-1,Inputs!$B$7))/Inputs!$B$7)+1)-1,ROUND(F$2*1440-F$3*60,0)/1440,MAX(F$1,MIN(ROUND(F$2*1440-F$3*60,0)/1440,ROUND((F$1+INT((M45-1)/Inputs!$B$7)/((INT((M$3-1-MOD(M45-1,Inputs!$B$7))/Inputs!$B$7)+1)-1)*((ROUND(F$2*1440-F$3*60,0)/1440)-F$1))*96,0)/96)))))))</f>
        <v>0</v>
      </c>
      <c r="U45" s="18" t="n">
        <f aca="false">IF(G45=0,0,IF(Inputs!$D62="Open",G$1,IF(Inputs!$D62="Close",ROUND(G$2*1440-G$3*60,0)/1440,IF(OR(INT((N45-1)/Inputs!$B$7)=0,(INT((N$3-1-MOD(N45-1,Inputs!$B$7))/Inputs!$B$7)+1)&lt;=1),G$1,IF(INT((N45-1)/Inputs!$B$7)&gt;=(INT((N$3-1-MOD(N45-1,Inputs!$B$7))/Inputs!$B$7)+1)-1,ROUND(G$2*1440-G$3*60,0)/1440,MAX(G$1,MIN(ROUND(G$2*1440-G$3*60,0)/1440,ROUND((G$1+INT((N45-1)/Inputs!$B$7)/((INT((N$3-1-MOD(N45-1,Inputs!$B$7))/Inputs!$B$7)+1)-1)*((ROUND(G$2*1440-G$3*60,0)/1440)-G$1))*96,0)/96)))))))</f>
        <v>0</v>
      </c>
      <c r="V45" s="18" t="n">
        <f aca="false">IF(H45=0,0,IF(Inputs!$D62="Open",H$1,IF(Inputs!$D62="Close",ROUND(H$2*1440-H$3*60,0)/1440,IF(OR(INT((O45-1)/Inputs!$B$7)=0,(INT((O$3-1-MOD(O45-1,Inputs!$B$7))/Inputs!$B$7)+1)&lt;=1),H$1,IF(INT((O45-1)/Inputs!$B$7)&gt;=(INT((O$3-1-MOD(O45-1,Inputs!$B$7))/Inputs!$B$7)+1)-1,ROUND(H$2*1440-H$3*60,0)/1440,MAX(H$1,MIN(ROUND(H$2*1440-H$3*60,0)/1440,ROUND((H$1+INT((O45-1)/Inputs!$B$7)/((INT((O$3-1-MOD(O45-1,Inputs!$B$7))/Inputs!$B$7)+1)-1)*((ROUND(H$2*1440-H$3*60,0)/1440)-H$1))*96,0)/96)))))))</f>
        <v>0</v>
      </c>
      <c r="W45" s="18" t="n">
        <f aca="false">IF(I45=0,0,IF(Inputs!$D62="Open",I$1,IF(Inputs!$D62="Close",ROUND(I$2*1440-I$3*60,0)/1440,IF(OR(INT((P45-1)/Inputs!$B$7)=0,(INT((P$3-1-MOD(P45-1,Inputs!$B$7))/Inputs!$B$7)+1)&lt;=1),I$1,IF(INT((P45-1)/Inputs!$B$7)&gt;=(INT((P$3-1-MOD(P45-1,Inputs!$B$7))/Inputs!$B$7)+1)-1,ROUND(I$2*1440-I$3*60,0)/1440,MAX(I$1,MIN(ROUND(I$2*1440-I$3*60,0)/1440,ROUND((I$1+INT((P45-1)/Inputs!$B$7)/((INT((P$3-1-MOD(P45-1,Inputs!$B$7))/Inputs!$B$7)+1)-1)*((ROUND(I$2*1440-I$3*60,0)/1440)-I$1))*96,0)/96)))))))</f>
        <v>0</v>
      </c>
      <c r="X45" s="18" t="n">
        <f aca="false">IF(J45=0,0,IF(Inputs!$D62="Open",J$1,IF(Inputs!$D62="Close",ROUND(J$2*1440-J$3*60,0)/1440,IF(OR(INT((Q45-1)/Inputs!$B$7)=0,(INT((Q$3-1-MOD(Q45-1,Inputs!$B$7))/Inputs!$B$7)+1)&lt;=1),J$1,IF(INT((Q45-1)/Inputs!$B$7)&gt;=(INT((Q$3-1-MOD(Q45-1,Inputs!$B$7))/Inputs!$B$7)+1)-1,ROUND(J$2*1440-J$3*60,0)/1440,MAX(J$1,MIN(ROUND(J$2*1440-J$3*60,0)/1440,ROUND((J$1+INT((Q45-1)/Inputs!$B$7)/((INT((Q$3-1-MOD(Q45-1,Inputs!$B$7))/Inputs!$B$7)+1)-1)*((ROUND(J$2*1440-J$3*60,0)/1440)-J$1))*96,0)/96)))))))</f>
        <v>0</v>
      </c>
      <c r="Y45" s="18" t="n">
        <f aca="false">IF(K45=0,0,IF(Inputs!$D62="Open",K$1,IF(Inputs!$D62="Close",ROUND(K$2*1440-K$3*60,0)/1440,IF(OR(INT((R45-1)/Inputs!$B$7)=0,(INT((R$3-1-MOD(R45-1,Inputs!$B$7))/Inputs!$B$7)+1)&lt;=1),K$1,IF(INT((R45-1)/Inputs!$B$7)&gt;=(INT((R$3-1-MOD(R45-1,Inputs!$B$7))/Inputs!$B$7)+1)-1,ROUND(K$2*1440-K$3*60,0)/1440,MAX(K$1,MIN(ROUND(K$2*1440-K$3*60,0)/1440,ROUND((K$1+INT((R45-1)/Inputs!$B$7)/((INT((R$3-1-MOD(R45-1,Inputs!$B$7))/Inputs!$B$7)+1)-1)*((ROUND(K$2*1440-K$3*60,0)/1440)-K$1))*96,0)/96)))))))</f>
        <v>0</v>
      </c>
      <c r="Z45" s="18" t="n">
        <f aca="false">IF(L45=0,0,IF(Inputs!$D62="Open",L$1,IF(Inputs!$D62="Close",ROUND(L$2*1440-L$3*60,0)/1440,IF(OR(INT((S45-1)/Inputs!$B$7)=0,(INT((S$3-1-MOD(S45-1,Inputs!$B$7))/Inputs!$B$7)+1)&lt;=1),L$1,IF(INT((S45-1)/Inputs!$B$7)&gt;=(INT((S$3-1-MOD(S45-1,Inputs!$B$7))/Inputs!$B$7)+1)-1,ROUND(L$2*1440-L$3*60,0)/1440,MAX(L$1,MIN(ROUND(L$2*1440-L$3*60,0)/1440,ROUND((L$1+INT((S45-1)/Inputs!$B$7)/((INT((S$3-1-MOD(S45-1,Inputs!$B$7))/Inputs!$B$7)+1)-1)*((ROUND(L$2*1440-L$3*60,0)/1440)-L$1))*96,0)/96)))))))</f>
        <v>0</v>
      </c>
      <c r="AA45" s="18" t="n">
        <f aca="false">IF(F45=0,0,ROUND(T45*1440+F$3*60,0)/1440)</f>
        <v>0</v>
      </c>
      <c r="AB45" s="18" t="n">
        <f aca="false">IF(G45=0,0,ROUND(U45*1440+G$3*60,0)/1440)</f>
        <v>0</v>
      </c>
      <c r="AC45" s="18" t="n">
        <f aca="false">IF(H45=0,0,ROUND(V45*1440+H$3*60,0)/1440)</f>
        <v>0</v>
      </c>
      <c r="AD45" s="18" t="n">
        <f aca="false">IF(I45=0,0,ROUND(W45*1440+I$3*60,0)/1440)</f>
        <v>0</v>
      </c>
      <c r="AE45" s="18" t="n">
        <f aca="false">IF(J45=0,0,ROUND(X45*1440+J$3*60,0)/1440)</f>
        <v>0</v>
      </c>
      <c r="AF45" s="18" t="n">
        <f aca="false">IF(K45=0,0,ROUND(Y45*1440+K$3*60,0)/1440)</f>
        <v>0</v>
      </c>
      <c r="AG45" s="18" t="n">
        <f aca="false">IF(L45=0,0,ROUND(Z45*1440+L$3*60,0)/1440)</f>
        <v>0</v>
      </c>
      <c r="AH45" s="19" t="n">
        <f aca="false">SUMPRODUCT((MOD(AO$1:AU$1-0,7)&lt;Inputs!$B$6)*AO$2:AU$2*(AO44:AU44+1))*100+MOD(0-5,7)</f>
        <v>1602</v>
      </c>
      <c r="AI45" s="19" t="n">
        <f aca="false">SUMPRODUCT((MOD(AO$1:AU$1-1,7)&lt;Inputs!$B$6)*AO$2:AU$2*(AO44:AU44+1))*100+MOD(1-5,7)</f>
        <v>1403</v>
      </c>
      <c r="AJ45" s="19" t="n">
        <f aca="false">SUMPRODUCT((MOD(AO$1:AU$1-2,7)&lt;Inputs!$B$6)*AO$2:AU$2*(AO44:AU44+1))*100+MOD(2-5,7)</f>
        <v>1404</v>
      </c>
      <c r="AK45" s="19" t="n">
        <f aca="false">SUMPRODUCT((MOD(AO$1:AU$1-3,7)&lt;Inputs!$B$6)*AO$2:AU$2*(AO44:AU44+1))*100+MOD(3-5,7)</f>
        <v>1405</v>
      </c>
      <c r="AL45" s="19" t="n">
        <f aca="false">SUMPRODUCT((MOD(AO$1:AU$1-4,7)&lt;Inputs!$B$6)*AO$2:AU$2*(AO44:AU44+1))*100+MOD(4-5,7)</f>
        <v>1406</v>
      </c>
      <c r="AM45" s="19" t="n">
        <f aca="false">SUMPRODUCT((MOD(AO$1:AU$1-5,7)&lt;Inputs!$B$6)*AO$2:AU$2*(AO44:AU44+1))*100+MOD(5-5,7)</f>
        <v>1800</v>
      </c>
      <c r="AN45" s="19" t="n">
        <f aca="false">SUMPRODUCT((MOD(AO$1:AU$1-6,7)&lt;Inputs!$B$6)*AO$2:AU$2*(AO44:AU44+1))*100+MOD(6-5,7)</f>
        <v>1801</v>
      </c>
      <c r="AO45" s="19" t="n">
        <f aca="false">AO44+IF($B45=1,IF(MOD(0-$D45,7)&lt;Inputs!$B$6,1,0),0)</f>
        <v>3</v>
      </c>
      <c r="AP45" s="19" t="n">
        <f aca="false">AP44+IF($B45=1,IF(MOD(1-$D45,7)&lt;Inputs!$B$6,1,0),0)</f>
        <v>3</v>
      </c>
      <c r="AQ45" s="19" t="n">
        <f aca="false">AQ44+IF($B45=1,IF(MOD(2-$D45,7)&lt;Inputs!$B$6,1,0),0)</f>
        <v>2</v>
      </c>
      <c r="AR45" s="19" t="n">
        <f aca="false">AR44+IF($B45=1,IF(MOD(3-$D45,7)&lt;Inputs!$B$6,1,0),0)</f>
        <v>3</v>
      </c>
      <c r="AS45" s="19" t="n">
        <f aca="false">AS44+IF($B45=1,IF(MOD(4-$D45,7)&lt;Inputs!$B$6,1,0),0)</f>
        <v>2</v>
      </c>
      <c r="AT45" s="19" t="n">
        <f aca="false">AT44+IF($B45=1,IF(MOD(5-$D45,7)&lt;Inputs!$B$6,1,0),0)</f>
        <v>3</v>
      </c>
      <c r="AU45" s="19" t="n">
        <f aca="false">AU44+IF($B45=1,IF(MOD(6-$D45,7)&lt;Inputs!$B$6,1,0),0)</f>
        <v>4</v>
      </c>
    </row>
    <row r="46" customFormat="false" ht="15" hidden="false" customHeight="false" outlineLevel="0" collapsed="false">
      <c r="A46" s="0" t="n">
        <v>41</v>
      </c>
      <c r="B46" s="0" t="n">
        <f aca="false">IF(A46&lt;=Inputs!$B$3,1,0)</f>
        <v>0</v>
      </c>
      <c r="C46" s="0" t="n">
        <f aca="false">MOD(5+MOD(A46-1,7),7)</f>
        <v>3</v>
      </c>
      <c r="D46" s="0" t="n">
        <f aca="false">IF(Inputs!C63&lt;&gt;"",MATCH(Inputs!C63,Inputs!$A$11:$A$17,0)-1,IF(B46=0,0,MATCH(MIN(AH46:AN46),AH46:AN46,0)-1))</f>
        <v>0</v>
      </c>
      <c r="F46" s="0" t="n">
        <f aca="false">IF(OR($B46=0,F$3=0),0,IF(MOD(0-$D46,7)&lt;Inputs!$B$6,0,1))</f>
        <v>0</v>
      </c>
      <c r="G46" s="0" t="n">
        <f aca="false">IF(OR($B46=0,G$3=0),0,IF(MOD(1-$D46,7)&lt;Inputs!$B$6,0,1))</f>
        <v>0</v>
      </c>
      <c r="H46" s="0" t="n">
        <f aca="false">IF(OR($B46=0,H$3=0),0,IF(MOD(2-$D46,7)&lt;Inputs!$B$6,0,1))</f>
        <v>0</v>
      </c>
      <c r="I46" s="0" t="n">
        <f aca="false">IF(OR($B46=0,I$3=0),0,IF(MOD(3-$D46,7)&lt;Inputs!$B$6,0,1))</f>
        <v>0</v>
      </c>
      <c r="J46" s="0" t="n">
        <f aca="false">IF(OR($B46=0,J$3=0),0,IF(MOD(4-$D46,7)&lt;Inputs!$B$6,0,1))</f>
        <v>0</v>
      </c>
      <c r="K46" s="0" t="n">
        <f aca="false">IF(OR($B46=0,K$3=0),0,IF(MOD(5-$D46,7)&lt;Inputs!$B$6,0,1))</f>
        <v>0</v>
      </c>
      <c r="L46" s="0" t="n">
        <f aca="false">IF(OR($B46=0,L$3=0),0,IF(MOD(6-$D46,7)&lt;Inputs!$B$6,0,1))</f>
        <v>0</v>
      </c>
      <c r="M46" s="0" t="n">
        <f aca="false">SUM(F$6:F46)</f>
        <v>7</v>
      </c>
      <c r="N46" s="0" t="n">
        <f aca="false">SUM(G$6:G46)</f>
        <v>7</v>
      </c>
      <c r="O46" s="0" t="n">
        <f aca="false">SUM(H$6:H46)</f>
        <v>8</v>
      </c>
      <c r="P46" s="0" t="n">
        <f aca="false">SUM(I$6:I46)</f>
        <v>7</v>
      </c>
      <c r="Q46" s="0" t="n">
        <f aca="false">SUM(J$6:J46)</f>
        <v>8</v>
      </c>
      <c r="R46" s="0" t="n">
        <f aca="false">SUM(K$6:K46)</f>
        <v>7</v>
      </c>
      <c r="S46" s="0" t="n">
        <f aca="false">SUM(L$6:L46)</f>
        <v>6</v>
      </c>
      <c r="T46" s="18" t="n">
        <f aca="false">IF(F46=0,0,IF(Inputs!$D63="Open",F$1,IF(Inputs!$D63="Close",ROUND(F$2*1440-F$3*60,0)/1440,IF(OR(INT((M46-1)/Inputs!$B$7)=0,(INT((M$3-1-MOD(M46-1,Inputs!$B$7))/Inputs!$B$7)+1)&lt;=1),F$1,IF(INT((M46-1)/Inputs!$B$7)&gt;=(INT((M$3-1-MOD(M46-1,Inputs!$B$7))/Inputs!$B$7)+1)-1,ROUND(F$2*1440-F$3*60,0)/1440,MAX(F$1,MIN(ROUND(F$2*1440-F$3*60,0)/1440,ROUND((F$1+INT((M46-1)/Inputs!$B$7)/((INT((M$3-1-MOD(M46-1,Inputs!$B$7))/Inputs!$B$7)+1)-1)*((ROUND(F$2*1440-F$3*60,0)/1440)-F$1))*96,0)/96)))))))</f>
        <v>0</v>
      </c>
      <c r="U46" s="18" t="n">
        <f aca="false">IF(G46=0,0,IF(Inputs!$D63="Open",G$1,IF(Inputs!$D63="Close",ROUND(G$2*1440-G$3*60,0)/1440,IF(OR(INT((N46-1)/Inputs!$B$7)=0,(INT((N$3-1-MOD(N46-1,Inputs!$B$7))/Inputs!$B$7)+1)&lt;=1),G$1,IF(INT((N46-1)/Inputs!$B$7)&gt;=(INT((N$3-1-MOD(N46-1,Inputs!$B$7))/Inputs!$B$7)+1)-1,ROUND(G$2*1440-G$3*60,0)/1440,MAX(G$1,MIN(ROUND(G$2*1440-G$3*60,0)/1440,ROUND((G$1+INT((N46-1)/Inputs!$B$7)/((INT((N$3-1-MOD(N46-1,Inputs!$B$7))/Inputs!$B$7)+1)-1)*((ROUND(G$2*1440-G$3*60,0)/1440)-G$1))*96,0)/96)))))))</f>
        <v>0</v>
      </c>
      <c r="V46" s="18" t="n">
        <f aca="false">IF(H46=0,0,IF(Inputs!$D63="Open",H$1,IF(Inputs!$D63="Close",ROUND(H$2*1440-H$3*60,0)/1440,IF(OR(INT((O46-1)/Inputs!$B$7)=0,(INT((O$3-1-MOD(O46-1,Inputs!$B$7))/Inputs!$B$7)+1)&lt;=1),H$1,IF(INT((O46-1)/Inputs!$B$7)&gt;=(INT((O$3-1-MOD(O46-1,Inputs!$B$7))/Inputs!$B$7)+1)-1,ROUND(H$2*1440-H$3*60,0)/1440,MAX(H$1,MIN(ROUND(H$2*1440-H$3*60,0)/1440,ROUND((H$1+INT((O46-1)/Inputs!$B$7)/((INT((O$3-1-MOD(O46-1,Inputs!$B$7))/Inputs!$B$7)+1)-1)*((ROUND(H$2*1440-H$3*60,0)/1440)-H$1))*96,0)/96)))))))</f>
        <v>0</v>
      </c>
      <c r="W46" s="18" t="n">
        <f aca="false">IF(I46=0,0,IF(Inputs!$D63="Open",I$1,IF(Inputs!$D63="Close",ROUND(I$2*1440-I$3*60,0)/1440,IF(OR(INT((P46-1)/Inputs!$B$7)=0,(INT((P$3-1-MOD(P46-1,Inputs!$B$7))/Inputs!$B$7)+1)&lt;=1),I$1,IF(INT((P46-1)/Inputs!$B$7)&gt;=(INT((P$3-1-MOD(P46-1,Inputs!$B$7))/Inputs!$B$7)+1)-1,ROUND(I$2*1440-I$3*60,0)/1440,MAX(I$1,MIN(ROUND(I$2*1440-I$3*60,0)/1440,ROUND((I$1+INT((P46-1)/Inputs!$B$7)/((INT((P$3-1-MOD(P46-1,Inputs!$B$7))/Inputs!$B$7)+1)-1)*((ROUND(I$2*1440-I$3*60,0)/1440)-I$1))*96,0)/96)))))))</f>
        <v>0</v>
      </c>
      <c r="X46" s="18" t="n">
        <f aca="false">IF(J46=0,0,IF(Inputs!$D63="Open",J$1,IF(Inputs!$D63="Close",ROUND(J$2*1440-J$3*60,0)/1440,IF(OR(INT((Q46-1)/Inputs!$B$7)=0,(INT((Q$3-1-MOD(Q46-1,Inputs!$B$7))/Inputs!$B$7)+1)&lt;=1),J$1,IF(INT((Q46-1)/Inputs!$B$7)&gt;=(INT((Q$3-1-MOD(Q46-1,Inputs!$B$7))/Inputs!$B$7)+1)-1,ROUND(J$2*1440-J$3*60,0)/1440,MAX(J$1,MIN(ROUND(J$2*1440-J$3*60,0)/1440,ROUND((J$1+INT((Q46-1)/Inputs!$B$7)/((INT((Q$3-1-MOD(Q46-1,Inputs!$B$7))/Inputs!$B$7)+1)-1)*((ROUND(J$2*1440-J$3*60,0)/1440)-J$1))*96,0)/96)))))))</f>
        <v>0</v>
      </c>
      <c r="Y46" s="18" t="n">
        <f aca="false">IF(K46=0,0,IF(Inputs!$D63="Open",K$1,IF(Inputs!$D63="Close",ROUND(K$2*1440-K$3*60,0)/1440,IF(OR(INT((R46-1)/Inputs!$B$7)=0,(INT((R$3-1-MOD(R46-1,Inputs!$B$7))/Inputs!$B$7)+1)&lt;=1),K$1,IF(INT((R46-1)/Inputs!$B$7)&gt;=(INT((R$3-1-MOD(R46-1,Inputs!$B$7))/Inputs!$B$7)+1)-1,ROUND(K$2*1440-K$3*60,0)/1440,MAX(K$1,MIN(ROUND(K$2*1440-K$3*60,0)/1440,ROUND((K$1+INT((R46-1)/Inputs!$B$7)/((INT((R$3-1-MOD(R46-1,Inputs!$B$7))/Inputs!$B$7)+1)-1)*((ROUND(K$2*1440-K$3*60,0)/1440)-K$1))*96,0)/96)))))))</f>
        <v>0</v>
      </c>
      <c r="Z46" s="18" t="n">
        <f aca="false">IF(L46=0,0,IF(Inputs!$D63="Open",L$1,IF(Inputs!$D63="Close",ROUND(L$2*1440-L$3*60,0)/1440,IF(OR(INT((S46-1)/Inputs!$B$7)=0,(INT((S$3-1-MOD(S46-1,Inputs!$B$7))/Inputs!$B$7)+1)&lt;=1),L$1,IF(INT((S46-1)/Inputs!$B$7)&gt;=(INT((S$3-1-MOD(S46-1,Inputs!$B$7))/Inputs!$B$7)+1)-1,ROUND(L$2*1440-L$3*60,0)/1440,MAX(L$1,MIN(ROUND(L$2*1440-L$3*60,0)/1440,ROUND((L$1+INT((S46-1)/Inputs!$B$7)/((INT((S$3-1-MOD(S46-1,Inputs!$B$7))/Inputs!$B$7)+1)-1)*((ROUND(L$2*1440-L$3*60,0)/1440)-L$1))*96,0)/96)))))))</f>
        <v>0</v>
      </c>
      <c r="AA46" s="18" t="n">
        <f aca="false">IF(F46=0,0,ROUND(T46*1440+F$3*60,0)/1440)</f>
        <v>0</v>
      </c>
      <c r="AB46" s="18" t="n">
        <f aca="false">IF(G46=0,0,ROUND(U46*1440+G$3*60,0)/1440)</f>
        <v>0</v>
      </c>
      <c r="AC46" s="18" t="n">
        <f aca="false">IF(H46=0,0,ROUND(V46*1440+H$3*60,0)/1440)</f>
        <v>0</v>
      </c>
      <c r="AD46" s="18" t="n">
        <f aca="false">IF(I46=0,0,ROUND(W46*1440+I$3*60,0)/1440)</f>
        <v>0</v>
      </c>
      <c r="AE46" s="18" t="n">
        <f aca="false">IF(J46=0,0,ROUND(X46*1440+J$3*60,0)/1440)</f>
        <v>0</v>
      </c>
      <c r="AF46" s="18" t="n">
        <f aca="false">IF(K46=0,0,ROUND(Y46*1440+K$3*60,0)/1440)</f>
        <v>0</v>
      </c>
      <c r="AG46" s="18" t="n">
        <f aca="false">IF(L46=0,0,ROUND(Z46*1440+L$3*60,0)/1440)</f>
        <v>0</v>
      </c>
      <c r="AH46" s="19" t="n">
        <f aca="false">SUMPRODUCT((MOD(AO$1:AU$1-0,7)&lt;Inputs!$B$6)*AO$2:AU$2*(AO45:AU45+1))*100+MOD(0-5,7)</f>
        <v>1602</v>
      </c>
      <c r="AI46" s="19" t="n">
        <f aca="false">SUMPRODUCT((MOD(AO$1:AU$1-1,7)&lt;Inputs!$B$6)*AO$2:AU$2*(AO45:AU45+1))*100+MOD(1-5,7)</f>
        <v>1403</v>
      </c>
      <c r="AJ46" s="19" t="n">
        <f aca="false">SUMPRODUCT((MOD(AO$1:AU$1-2,7)&lt;Inputs!$B$6)*AO$2:AU$2*(AO45:AU45+1))*100+MOD(2-5,7)</f>
        <v>1404</v>
      </c>
      <c r="AK46" s="19" t="n">
        <f aca="false">SUMPRODUCT((MOD(AO$1:AU$1-3,7)&lt;Inputs!$B$6)*AO$2:AU$2*(AO45:AU45+1))*100+MOD(3-5,7)</f>
        <v>1405</v>
      </c>
      <c r="AL46" s="19" t="n">
        <f aca="false">SUMPRODUCT((MOD(AO$1:AU$1-4,7)&lt;Inputs!$B$6)*AO$2:AU$2*(AO45:AU45+1))*100+MOD(4-5,7)</f>
        <v>1406</v>
      </c>
      <c r="AM46" s="19" t="n">
        <f aca="false">SUMPRODUCT((MOD(AO$1:AU$1-5,7)&lt;Inputs!$B$6)*AO$2:AU$2*(AO45:AU45+1))*100+MOD(5-5,7)</f>
        <v>1800</v>
      </c>
      <c r="AN46" s="19" t="n">
        <f aca="false">SUMPRODUCT((MOD(AO$1:AU$1-6,7)&lt;Inputs!$B$6)*AO$2:AU$2*(AO45:AU45+1))*100+MOD(6-5,7)</f>
        <v>1801</v>
      </c>
      <c r="AO46" s="19" t="n">
        <f aca="false">AO45+IF($B46=1,IF(MOD(0-$D46,7)&lt;Inputs!$B$6,1,0),0)</f>
        <v>3</v>
      </c>
      <c r="AP46" s="19" t="n">
        <f aca="false">AP45+IF($B46=1,IF(MOD(1-$D46,7)&lt;Inputs!$B$6,1,0),0)</f>
        <v>3</v>
      </c>
      <c r="AQ46" s="19" t="n">
        <f aca="false">AQ45+IF($B46=1,IF(MOD(2-$D46,7)&lt;Inputs!$B$6,1,0),0)</f>
        <v>2</v>
      </c>
      <c r="AR46" s="19" t="n">
        <f aca="false">AR45+IF($B46=1,IF(MOD(3-$D46,7)&lt;Inputs!$B$6,1,0),0)</f>
        <v>3</v>
      </c>
      <c r="AS46" s="19" t="n">
        <f aca="false">AS45+IF($B46=1,IF(MOD(4-$D46,7)&lt;Inputs!$B$6,1,0),0)</f>
        <v>2</v>
      </c>
      <c r="AT46" s="19" t="n">
        <f aca="false">AT45+IF($B46=1,IF(MOD(5-$D46,7)&lt;Inputs!$B$6,1,0),0)</f>
        <v>3</v>
      </c>
      <c r="AU46" s="19" t="n">
        <f aca="false">AU45+IF($B46=1,IF(MOD(6-$D46,7)&lt;Inputs!$B$6,1,0),0)</f>
        <v>4</v>
      </c>
    </row>
    <row r="47" customFormat="false" ht="15" hidden="false" customHeight="false" outlineLevel="0" collapsed="false">
      <c r="A47" s="0" t="n">
        <v>42</v>
      </c>
      <c r="B47" s="0" t="n">
        <f aca="false">IF(A47&lt;=Inputs!$B$3,1,0)</f>
        <v>0</v>
      </c>
      <c r="C47" s="0" t="n">
        <f aca="false">MOD(5+MOD(A47-1,7),7)</f>
        <v>4</v>
      </c>
      <c r="D47" s="0" t="n">
        <f aca="false">IF(Inputs!C64&lt;&gt;"",MATCH(Inputs!C64,Inputs!$A$11:$A$17,0)-1,IF(B47=0,0,MATCH(MIN(AH47:AN47),AH47:AN47,0)-1))</f>
        <v>0</v>
      </c>
      <c r="F47" s="0" t="n">
        <f aca="false">IF(OR($B47=0,F$3=0),0,IF(MOD(0-$D47,7)&lt;Inputs!$B$6,0,1))</f>
        <v>0</v>
      </c>
      <c r="G47" s="0" t="n">
        <f aca="false">IF(OR($B47=0,G$3=0),0,IF(MOD(1-$D47,7)&lt;Inputs!$B$6,0,1))</f>
        <v>0</v>
      </c>
      <c r="H47" s="0" t="n">
        <f aca="false">IF(OR($B47=0,H$3=0),0,IF(MOD(2-$D47,7)&lt;Inputs!$B$6,0,1))</f>
        <v>0</v>
      </c>
      <c r="I47" s="0" t="n">
        <f aca="false">IF(OR($B47=0,I$3=0),0,IF(MOD(3-$D47,7)&lt;Inputs!$B$6,0,1))</f>
        <v>0</v>
      </c>
      <c r="J47" s="0" t="n">
        <f aca="false">IF(OR($B47=0,J$3=0),0,IF(MOD(4-$D47,7)&lt;Inputs!$B$6,0,1))</f>
        <v>0</v>
      </c>
      <c r="K47" s="0" t="n">
        <f aca="false">IF(OR($B47=0,K$3=0),0,IF(MOD(5-$D47,7)&lt;Inputs!$B$6,0,1))</f>
        <v>0</v>
      </c>
      <c r="L47" s="0" t="n">
        <f aca="false">IF(OR($B47=0,L$3=0),0,IF(MOD(6-$D47,7)&lt;Inputs!$B$6,0,1))</f>
        <v>0</v>
      </c>
      <c r="M47" s="0" t="n">
        <f aca="false">SUM(F$6:F47)</f>
        <v>7</v>
      </c>
      <c r="N47" s="0" t="n">
        <f aca="false">SUM(G$6:G47)</f>
        <v>7</v>
      </c>
      <c r="O47" s="0" t="n">
        <f aca="false">SUM(H$6:H47)</f>
        <v>8</v>
      </c>
      <c r="P47" s="0" t="n">
        <f aca="false">SUM(I$6:I47)</f>
        <v>7</v>
      </c>
      <c r="Q47" s="0" t="n">
        <f aca="false">SUM(J$6:J47)</f>
        <v>8</v>
      </c>
      <c r="R47" s="0" t="n">
        <f aca="false">SUM(K$6:K47)</f>
        <v>7</v>
      </c>
      <c r="S47" s="0" t="n">
        <f aca="false">SUM(L$6:L47)</f>
        <v>6</v>
      </c>
      <c r="T47" s="18" t="n">
        <f aca="false">IF(F47=0,0,IF(Inputs!$D64="Open",F$1,IF(Inputs!$D64="Close",ROUND(F$2*1440-F$3*60,0)/1440,IF(OR(INT((M47-1)/Inputs!$B$7)=0,(INT((M$3-1-MOD(M47-1,Inputs!$B$7))/Inputs!$B$7)+1)&lt;=1),F$1,IF(INT((M47-1)/Inputs!$B$7)&gt;=(INT((M$3-1-MOD(M47-1,Inputs!$B$7))/Inputs!$B$7)+1)-1,ROUND(F$2*1440-F$3*60,0)/1440,MAX(F$1,MIN(ROUND(F$2*1440-F$3*60,0)/1440,ROUND((F$1+INT((M47-1)/Inputs!$B$7)/((INT((M$3-1-MOD(M47-1,Inputs!$B$7))/Inputs!$B$7)+1)-1)*((ROUND(F$2*1440-F$3*60,0)/1440)-F$1))*96,0)/96)))))))</f>
        <v>0</v>
      </c>
      <c r="U47" s="18" t="n">
        <f aca="false">IF(G47=0,0,IF(Inputs!$D64="Open",G$1,IF(Inputs!$D64="Close",ROUND(G$2*1440-G$3*60,0)/1440,IF(OR(INT((N47-1)/Inputs!$B$7)=0,(INT((N$3-1-MOD(N47-1,Inputs!$B$7))/Inputs!$B$7)+1)&lt;=1),G$1,IF(INT((N47-1)/Inputs!$B$7)&gt;=(INT((N$3-1-MOD(N47-1,Inputs!$B$7))/Inputs!$B$7)+1)-1,ROUND(G$2*1440-G$3*60,0)/1440,MAX(G$1,MIN(ROUND(G$2*1440-G$3*60,0)/1440,ROUND((G$1+INT((N47-1)/Inputs!$B$7)/((INT((N$3-1-MOD(N47-1,Inputs!$B$7))/Inputs!$B$7)+1)-1)*((ROUND(G$2*1440-G$3*60,0)/1440)-G$1))*96,0)/96)))))))</f>
        <v>0</v>
      </c>
      <c r="V47" s="18" t="n">
        <f aca="false">IF(H47=0,0,IF(Inputs!$D64="Open",H$1,IF(Inputs!$D64="Close",ROUND(H$2*1440-H$3*60,0)/1440,IF(OR(INT((O47-1)/Inputs!$B$7)=0,(INT((O$3-1-MOD(O47-1,Inputs!$B$7))/Inputs!$B$7)+1)&lt;=1),H$1,IF(INT((O47-1)/Inputs!$B$7)&gt;=(INT((O$3-1-MOD(O47-1,Inputs!$B$7))/Inputs!$B$7)+1)-1,ROUND(H$2*1440-H$3*60,0)/1440,MAX(H$1,MIN(ROUND(H$2*1440-H$3*60,0)/1440,ROUND((H$1+INT((O47-1)/Inputs!$B$7)/((INT((O$3-1-MOD(O47-1,Inputs!$B$7))/Inputs!$B$7)+1)-1)*((ROUND(H$2*1440-H$3*60,0)/1440)-H$1))*96,0)/96)))))))</f>
        <v>0</v>
      </c>
      <c r="W47" s="18" t="n">
        <f aca="false">IF(I47=0,0,IF(Inputs!$D64="Open",I$1,IF(Inputs!$D64="Close",ROUND(I$2*1440-I$3*60,0)/1440,IF(OR(INT((P47-1)/Inputs!$B$7)=0,(INT((P$3-1-MOD(P47-1,Inputs!$B$7))/Inputs!$B$7)+1)&lt;=1),I$1,IF(INT((P47-1)/Inputs!$B$7)&gt;=(INT((P$3-1-MOD(P47-1,Inputs!$B$7))/Inputs!$B$7)+1)-1,ROUND(I$2*1440-I$3*60,0)/1440,MAX(I$1,MIN(ROUND(I$2*1440-I$3*60,0)/1440,ROUND((I$1+INT((P47-1)/Inputs!$B$7)/((INT((P$3-1-MOD(P47-1,Inputs!$B$7))/Inputs!$B$7)+1)-1)*((ROUND(I$2*1440-I$3*60,0)/1440)-I$1))*96,0)/96)))))))</f>
        <v>0</v>
      </c>
      <c r="X47" s="18" t="n">
        <f aca="false">IF(J47=0,0,IF(Inputs!$D64="Open",J$1,IF(Inputs!$D64="Close",ROUND(J$2*1440-J$3*60,0)/1440,IF(OR(INT((Q47-1)/Inputs!$B$7)=0,(INT((Q$3-1-MOD(Q47-1,Inputs!$B$7))/Inputs!$B$7)+1)&lt;=1),J$1,IF(INT((Q47-1)/Inputs!$B$7)&gt;=(INT((Q$3-1-MOD(Q47-1,Inputs!$B$7))/Inputs!$B$7)+1)-1,ROUND(J$2*1440-J$3*60,0)/1440,MAX(J$1,MIN(ROUND(J$2*1440-J$3*60,0)/1440,ROUND((J$1+INT((Q47-1)/Inputs!$B$7)/((INT((Q$3-1-MOD(Q47-1,Inputs!$B$7))/Inputs!$B$7)+1)-1)*((ROUND(J$2*1440-J$3*60,0)/1440)-J$1))*96,0)/96)))))))</f>
        <v>0</v>
      </c>
      <c r="Y47" s="18" t="n">
        <f aca="false">IF(K47=0,0,IF(Inputs!$D64="Open",K$1,IF(Inputs!$D64="Close",ROUND(K$2*1440-K$3*60,0)/1440,IF(OR(INT((R47-1)/Inputs!$B$7)=0,(INT((R$3-1-MOD(R47-1,Inputs!$B$7))/Inputs!$B$7)+1)&lt;=1),K$1,IF(INT((R47-1)/Inputs!$B$7)&gt;=(INT((R$3-1-MOD(R47-1,Inputs!$B$7))/Inputs!$B$7)+1)-1,ROUND(K$2*1440-K$3*60,0)/1440,MAX(K$1,MIN(ROUND(K$2*1440-K$3*60,0)/1440,ROUND((K$1+INT((R47-1)/Inputs!$B$7)/((INT((R$3-1-MOD(R47-1,Inputs!$B$7))/Inputs!$B$7)+1)-1)*((ROUND(K$2*1440-K$3*60,0)/1440)-K$1))*96,0)/96)))))))</f>
        <v>0</v>
      </c>
      <c r="Z47" s="18" t="n">
        <f aca="false">IF(L47=0,0,IF(Inputs!$D64="Open",L$1,IF(Inputs!$D64="Close",ROUND(L$2*1440-L$3*60,0)/1440,IF(OR(INT((S47-1)/Inputs!$B$7)=0,(INT((S$3-1-MOD(S47-1,Inputs!$B$7))/Inputs!$B$7)+1)&lt;=1),L$1,IF(INT((S47-1)/Inputs!$B$7)&gt;=(INT((S$3-1-MOD(S47-1,Inputs!$B$7))/Inputs!$B$7)+1)-1,ROUND(L$2*1440-L$3*60,0)/1440,MAX(L$1,MIN(ROUND(L$2*1440-L$3*60,0)/1440,ROUND((L$1+INT((S47-1)/Inputs!$B$7)/((INT((S$3-1-MOD(S47-1,Inputs!$B$7))/Inputs!$B$7)+1)-1)*((ROUND(L$2*1440-L$3*60,0)/1440)-L$1))*96,0)/96)))))))</f>
        <v>0</v>
      </c>
      <c r="AA47" s="18" t="n">
        <f aca="false">IF(F47=0,0,ROUND(T47*1440+F$3*60,0)/1440)</f>
        <v>0</v>
      </c>
      <c r="AB47" s="18" t="n">
        <f aca="false">IF(G47=0,0,ROUND(U47*1440+G$3*60,0)/1440)</f>
        <v>0</v>
      </c>
      <c r="AC47" s="18" t="n">
        <f aca="false">IF(H47=0,0,ROUND(V47*1440+H$3*60,0)/1440)</f>
        <v>0</v>
      </c>
      <c r="AD47" s="18" t="n">
        <f aca="false">IF(I47=0,0,ROUND(W47*1440+I$3*60,0)/1440)</f>
        <v>0</v>
      </c>
      <c r="AE47" s="18" t="n">
        <f aca="false">IF(J47=0,0,ROUND(X47*1440+J$3*60,0)/1440)</f>
        <v>0</v>
      </c>
      <c r="AF47" s="18" t="n">
        <f aca="false">IF(K47=0,0,ROUND(Y47*1440+K$3*60,0)/1440)</f>
        <v>0</v>
      </c>
      <c r="AG47" s="18" t="n">
        <f aca="false">IF(L47=0,0,ROUND(Z47*1440+L$3*60,0)/1440)</f>
        <v>0</v>
      </c>
      <c r="AH47" s="19" t="n">
        <f aca="false">SUMPRODUCT((MOD(AO$1:AU$1-0,7)&lt;Inputs!$B$6)*AO$2:AU$2*(AO46:AU46+1))*100+MOD(0-5,7)</f>
        <v>1602</v>
      </c>
      <c r="AI47" s="19" t="n">
        <f aca="false">SUMPRODUCT((MOD(AO$1:AU$1-1,7)&lt;Inputs!$B$6)*AO$2:AU$2*(AO46:AU46+1))*100+MOD(1-5,7)</f>
        <v>1403</v>
      </c>
      <c r="AJ47" s="19" t="n">
        <f aca="false">SUMPRODUCT((MOD(AO$1:AU$1-2,7)&lt;Inputs!$B$6)*AO$2:AU$2*(AO46:AU46+1))*100+MOD(2-5,7)</f>
        <v>1404</v>
      </c>
      <c r="AK47" s="19" t="n">
        <f aca="false">SUMPRODUCT((MOD(AO$1:AU$1-3,7)&lt;Inputs!$B$6)*AO$2:AU$2*(AO46:AU46+1))*100+MOD(3-5,7)</f>
        <v>1405</v>
      </c>
      <c r="AL47" s="19" t="n">
        <f aca="false">SUMPRODUCT((MOD(AO$1:AU$1-4,7)&lt;Inputs!$B$6)*AO$2:AU$2*(AO46:AU46+1))*100+MOD(4-5,7)</f>
        <v>1406</v>
      </c>
      <c r="AM47" s="19" t="n">
        <f aca="false">SUMPRODUCT((MOD(AO$1:AU$1-5,7)&lt;Inputs!$B$6)*AO$2:AU$2*(AO46:AU46+1))*100+MOD(5-5,7)</f>
        <v>1800</v>
      </c>
      <c r="AN47" s="19" t="n">
        <f aca="false">SUMPRODUCT((MOD(AO$1:AU$1-6,7)&lt;Inputs!$B$6)*AO$2:AU$2*(AO46:AU46+1))*100+MOD(6-5,7)</f>
        <v>1801</v>
      </c>
      <c r="AO47" s="19" t="n">
        <f aca="false">AO46+IF($B47=1,IF(MOD(0-$D47,7)&lt;Inputs!$B$6,1,0),0)</f>
        <v>3</v>
      </c>
      <c r="AP47" s="19" t="n">
        <f aca="false">AP46+IF($B47=1,IF(MOD(1-$D47,7)&lt;Inputs!$B$6,1,0),0)</f>
        <v>3</v>
      </c>
      <c r="AQ47" s="19" t="n">
        <f aca="false">AQ46+IF($B47=1,IF(MOD(2-$D47,7)&lt;Inputs!$B$6,1,0),0)</f>
        <v>2</v>
      </c>
      <c r="AR47" s="19" t="n">
        <f aca="false">AR46+IF($B47=1,IF(MOD(3-$D47,7)&lt;Inputs!$B$6,1,0),0)</f>
        <v>3</v>
      </c>
      <c r="AS47" s="19" t="n">
        <f aca="false">AS46+IF($B47=1,IF(MOD(4-$D47,7)&lt;Inputs!$B$6,1,0),0)</f>
        <v>2</v>
      </c>
      <c r="AT47" s="19" t="n">
        <f aca="false">AT46+IF($B47=1,IF(MOD(5-$D47,7)&lt;Inputs!$B$6,1,0),0)</f>
        <v>3</v>
      </c>
      <c r="AU47" s="19" t="n">
        <f aca="false">AU46+IF($B47=1,IF(MOD(6-$D47,7)&lt;Inputs!$B$6,1,0),0)</f>
        <v>4</v>
      </c>
    </row>
    <row r="48" customFormat="false" ht="15" hidden="false" customHeight="false" outlineLevel="0" collapsed="false">
      <c r="A48" s="0" t="n">
        <v>43</v>
      </c>
      <c r="B48" s="0" t="n">
        <f aca="false">IF(A48&lt;=Inputs!$B$3,1,0)</f>
        <v>0</v>
      </c>
      <c r="C48" s="0" t="n">
        <f aca="false">MOD(5+MOD(A48-1,7),7)</f>
        <v>5</v>
      </c>
      <c r="D48" s="0" t="n">
        <f aca="false">IF(Inputs!C65&lt;&gt;"",MATCH(Inputs!C65,Inputs!$A$11:$A$17,0)-1,IF(B48=0,0,MATCH(MIN(AH48:AN48),AH48:AN48,0)-1))</f>
        <v>0</v>
      </c>
      <c r="F48" s="0" t="n">
        <f aca="false">IF(OR($B48=0,F$3=0),0,IF(MOD(0-$D48,7)&lt;Inputs!$B$6,0,1))</f>
        <v>0</v>
      </c>
      <c r="G48" s="0" t="n">
        <f aca="false">IF(OR($B48=0,G$3=0),0,IF(MOD(1-$D48,7)&lt;Inputs!$B$6,0,1))</f>
        <v>0</v>
      </c>
      <c r="H48" s="0" t="n">
        <f aca="false">IF(OR($B48=0,H$3=0),0,IF(MOD(2-$D48,7)&lt;Inputs!$B$6,0,1))</f>
        <v>0</v>
      </c>
      <c r="I48" s="0" t="n">
        <f aca="false">IF(OR($B48=0,I$3=0),0,IF(MOD(3-$D48,7)&lt;Inputs!$B$6,0,1))</f>
        <v>0</v>
      </c>
      <c r="J48" s="0" t="n">
        <f aca="false">IF(OR($B48=0,J$3=0),0,IF(MOD(4-$D48,7)&lt;Inputs!$B$6,0,1))</f>
        <v>0</v>
      </c>
      <c r="K48" s="0" t="n">
        <f aca="false">IF(OR($B48=0,K$3=0),0,IF(MOD(5-$D48,7)&lt;Inputs!$B$6,0,1))</f>
        <v>0</v>
      </c>
      <c r="L48" s="0" t="n">
        <f aca="false">IF(OR($B48=0,L$3=0),0,IF(MOD(6-$D48,7)&lt;Inputs!$B$6,0,1))</f>
        <v>0</v>
      </c>
      <c r="M48" s="0" t="n">
        <f aca="false">SUM(F$6:F48)</f>
        <v>7</v>
      </c>
      <c r="N48" s="0" t="n">
        <f aca="false">SUM(G$6:G48)</f>
        <v>7</v>
      </c>
      <c r="O48" s="0" t="n">
        <f aca="false">SUM(H$6:H48)</f>
        <v>8</v>
      </c>
      <c r="P48" s="0" t="n">
        <f aca="false">SUM(I$6:I48)</f>
        <v>7</v>
      </c>
      <c r="Q48" s="0" t="n">
        <f aca="false">SUM(J$6:J48)</f>
        <v>8</v>
      </c>
      <c r="R48" s="0" t="n">
        <f aca="false">SUM(K$6:K48)</f>
        <v>7</v>
      </c>
      <c r="S48" s="0" t="n">
        <f aca="false">SUM(L$6:L48)</f>
        <v>6</v>
      </c>
      <c r="T48" s="18" t="n">
        <f aca="false">IF(F48=0,0,IF(Inputs!$D65="Open",F$1,IF(Inputs!$D65="Close",ROUND(F$2*1440-F$3*60,0)/1440,IF(OR(INT((M48-1)/Inputs!$B$7)=0,(INT((M$3-1-MOD(M48-1,Inputs!$B$7))/Inputs!$B$7)+1)&lt;=1),F$1,IF(INT((M48-1)/Inputs!$B$7)&gt;=(INT((M$3-1-MOD(M48-1,Inputs!$B$7))/Inputs!$B$7)+1)-1,ROUND(F$2*1440-F$3*60,0)/1440,MAX(F$1,MIN(ROUND(F$2*1440-F$3*60,0)/1440,ROUND((F$1+INT((M48-1)/Inputs!$B$7)/((INT((M$3-1-MOD(M48-1,Inputs!$B$7))/Inputs!$B$7)+1)-1)*((ROUND(F$2*1440-F$3*60,0)/1440)-F$1))*96,0)/96)))))))</f>
        <v>0</v>
      </c>
      <c r="U48" s="18" t="n">
        <f aca="false">IF(G48=0,0,IF(Inputs!$D65="Open",G$1,IF(Inputs!$D65="Close",ROUND(G$2*1440-G$3*60,0)/1440,IF(OR(INT((N48-1)/Inputs!$B$7)=0,(INT((N$3-1-MOD(N48-1,Inputs!$B$7))/Inputs!$B$7)+1)&lt;=1),G$1,IF(INT((N48-1)/Inputs!$B$7)&gt;=(INT((N$3-1-MOD(N48-1,Inputs!$B$7))/Inputs!$B$7)+1)-1,ROUND(G$2*1440-G$3*60,0)/1440,MAX(G$1,MIN(ROUND(G$2*1440-G$3*60,0)/1440,ROUND((G$1+INT((N48-1)/Inputs!$B$7)/((INT((N$3-1-MOD(N48-1,Inputs!$B$7))/Inputs!$B$7)+1)-1)*((ROUND(G$2*1440-G$3*60,0)/1440)-G$1))*96,0)/96)))))))</f>
        <v>0</v>
      </c>
      <c r="V48" s="18" t="n">
        <f aca="false">IF(H48=0,0,IF(Inputs!$D65="Open",H$1,IF(Inputs!$D65="Close",ROUND(H$2*1440-H$3*60,0)/1440,IF(OR(INT((O48-1)/Inputs!$B$7)=0,(INT((O$3-1-MOD(O48-1,Inputs!$B$7))/Inputs!$B$7)+1)&lt;=1),H$1,IF(INT((O48-1)/Inputs!$B$7)&gt;=(INT((O$3-1-MOD(O48-1,Inputs!$B$7))/Inputs!$B$7)+1)-1,ROUND(H$2*1440-H$3*60,0)/1440,MAX(H$1,MIN(ROUND(H$2*1440-H$3*60,0)/1440,ROUND((H$1+INT((O48-1)/Inputs!$B$7)/((INT((O$3-1-MOD(O48-1,Inputs!$B$7))/Inputs!$B$7)+1)-1)*((ROUND(H$2*1440-H$3*60,0)/1440)-H$1))*96,0)/96)))))))</f>
        <v>0</v>
      </c>
      <c r="W48" s="18" t="n">
        <f aca="false">IF(I48=0,0,IF(Inputs!$D65="Open",I$1,IF(Inputs!$D65="Close",ROUND(I$2*1440-I$3*60,0)/1440,IF(OR(INT((P48-1)/Inputs!$B$7)=0,(INT((P$3-1-MOD(P48-1,Inputs!$B$7))/Inputs!$B$7)+1)&lt;=1),I$1,IF(INT((P48-1)/Inputs!$B$7)&gt;=(INT((P$3-1-MOD(P48-1,Inputs!$B$7))/Inputs!$B$7)+1)-1,ROUND(I$2*1440-I$3*60,0)/1440,MAX(I$1,MIN(ROUND(I$2*1440-I$3*60,0)/1440,ROUND((I$1+INT((P48-1)/Inputs!$B$7)/((INT((P$3-1-MOD(P48-1,Inputs!$B$7))/Inputs!$B$7)+1)-1)*((ROUND(I$2*1440-I$3*60,0)/1440)-I$1))*96,0)/96)))))))</f>
        <v>0</v>
      </c>
      <c r="X48" s="18" t="n">
        <f aca="false">IF(J48=0,0,IF(Inputs!$D65="Open",J$1,IF(Inputs!$D65="Close",ROUND(J$2*1440-J$3*60,0)/1440,IF(OR(INT((Q48-1)/Inputs!$B$7)=0,(INT((Q$3-1-MOD(Q48-1,Inputs!$B$7))/Inputs!$B$7)+1)&lt;=1),J$1,IF(INT((Q48-1)/Inputs!$B$7)&gt;=(INT((Q$3-1-MOD(Q48-1,Inputs!$B$7))/Inputs!$B$7)+1)-1,ROUND(J$2*1440-J$3*60,0)/1440,MAX(J$1,MIN(ROUND(J$2*1440-J$3*60,0)/1440,ROUND((J$1+INT((Q48-1)/Inputs!$B$7)/((INT((Q$3-1-MOD(Q48-1,Inputs!$B$7))/Inputs!$B$7)+1)-1)*((ROUND(J$2*1440-J$3*60,0)/1440)-J$1))*96,0)/96)))))))</f>
        <v>0</v>
      </c>
      <c r="Y48" s="18" t="n">
        <f aca="false">IF(K48=0,0,IF(Inputs!$D65="Open",K$1,IF(Inputs!$D65="Close",ROUND(K$2*1440-K$3*60,0)/1440,IF(OR(INT((R48-1)/Inputs!$B$7)=0,(INT((R$3-1-MOD(R48-1,Inputs!$B$7))/Inputs!$B$7)+1)&lt;=1),K$1,IF(INT((R48-1)/Inputs!$B$7)&gt;=(INT((R$3-1-MOD(R48-1,Inputs!$B$7))/Inputs!$B$7)+1)-1,ROUND(K$2*1440-K$3*60,0)/1440,MAX(K$1,MIN(ROUND(K$2*1440-K$3*60,0)/1440,ROUND((K$1+INT((R48-1)/Inputs!$B$7)/((INT((R$3-1-MOD(R48-1,Inputs!$B$7))/Inputs!$B$7)+1)-1)*((ROUND(K$2*1440-K$3*60,0)/1440)-K$1))*96,0)/96)))))))</f>
        <v>0</v>
      </c>
      <c r="Z48" s="18" t="n">
        <f aca="false">IF(L48=0,0,IF(Inputs!$D65="Open",L$1,IF(Inputs!$D65="Close",ROUND(L$2*1440-L$3*60,0)/1440,IF(OR(INT((S48-1)/Inputs!$B$7)=0,(INT((S$3-1-MOD(S48-1,Inputs!$B$7))/Inputs!$B$7)+1)&lt;=1),L$1,IF(INT((S48-1)/Inputs!$B$7)&gt;=(INT((S$3-1-MOD(S48-1,Inputs!$B$7))/Inputs!$B$7)+1)-1,ROUND(L$2*1440-L$3*60,0)/1440,MAX(L$1,MIN(ROUND(L$2*1440-L$3*60,0)/1440,ROUND((L$1+INT((S48-1)/Inputs!$B$7)/((INT((S$3-1-MOD(S48-1,Inputs!$B$7))/Inputs!$B$7)+1)-1)*((ROUND(L$2*1440-L$3*60,0)/1440)-L$1))*96,0)/96)))))))</f>
        <v>0</v>
      </c>
      <c r="AA48" s="18" t="n">
        <f aca="false">IF(F48=0,0,ROUND(T48*1440+F$3*60,0)/1440)</f>
        <v>0</v>
      </c>
      <c r="AB48" s="18" t="n">
        <f aca="false">IF(G48=0,0,ROUND(U48*1440+G$3*60,0)/1440)</f>
        <v>0</v>
      </c>
      <c r="AC48" s="18" t="n">
        <f aca="false">IF(H48=0,0,ROUND(V48*1440+H$3*60,0)/1440)</f>
        <v>0</v>
      </c>
      <c r="AD48" s="18" t="n">
        <f aca="false">IF(I48=0,0,ROUND(W48*1440+I$3*60,0)/1440)</f>
        <v>0</v>
      </c>
      <c r="AE48" s="18" t="n">
        <f aca="false">IF(J48=0,0,ROUND(X48*1440+J$3*60,0)/1440)</f>
        <v>0</v>
      </c>
      <c r="AF48" s="18" t="n">
        <f aca="false">IF(K48=0,0,ROUND(Y48*1440+K$3*60,0)/1440)</f>
        <v>0</v>
      </c>
      <c r="AG48" s="18" t="n">
        <f aca="false">IF(L48=0,0,ROUND(Z48*1440+L$3*60,0)/1440)</f>
        <v>0</v>
      </c>
      <c r="AH48" s="19" t="n">
        <f aca="false">SUMPRODUCT((MOD(AO$1:AU$1-0,7)&lt;Inputs!$B$6)*AO$2:AU$2*(AO47:AU47+1))*100+MOD(0-5,7)</f>
        <v>1602</v>
      </c>
      <c r="AI48" s="19" t="n">
        <f aca="false">SUMPRODUCT((MOD(AO$1:AU$1-1,7)&lt;Inputs!$B$6)*AO$2:AU$2*(AO47:AU47+1))*100+MOD(1-5,7)</f>
        <v>1403</v>
      </c>
      <c r="AJ48" s="19" t="n">
        <f aca="false">SUMPRODUCT((MOD(AO$1:AU$1-2,7)&lt;Inputs!$B$6)*AO$2:AU$2*(AO47:AU47+1))*100+MOD(2-5,7)</f>
        <v>1404</v>
      </c>
      <c r="AK48" s="19" t="n">
        <f aca="false">SUMPRODUCT((MOD(AO$1:AU$1-3,7)&lt;Inputs!$B$6)*AO$2:AU$2*(AO47:AU47+1))*100+MOD(3-5,7)</f>
        <v>1405</v>
      </c>
      <c r="AL48" s="19" t="n">
        <f aca="false">SUMPRODUCT((MOD(AO$1:AU$1-4,7)&lt;Inputs!$B$6)*AO$2:AU$2*(AO47:AU47+1))*100+MOD(4-5,7)</f>
        <v>1406</v>
      </c>
      <c r="AM48" s="19" t="n">
        <f aca="false">SUMPRODUCT((MOD(AO$1:AU$1-5,7)&lt;Inputs!$B$6)*AO$2:AU$2*(AO47:AU47+1))*100+MOD(5-5,7)</f>
        <v>1800</v>
      </c>
      <c r="AN48" s="19" t="n">
        <f aca="false">SUMPRODUCT((MOD(AO$1:AU$1-6,7)&lt;Inputs!$B$6)*AO$2:AU$2*(AO47:AU47+1))*100+MOD(6-5,7)</f>
        <v>1801</v>
      </c>
      <c r="AO48" s="19" t="n">
        <f aca="false">AO47+IF($B48=1,IF(MOD(0-$D48,7)&lt;Inputs!$B$6,1,0),0)</f>
        <v>3</v>
      </c>
      <c r="AP48" s="19" t="n">
        <f aca="false">AP47+IF($B48=1,IF(MOD(1-$D48,7)&lt;Inputs!$B$6,1,0),0)</f>
        <v>3</v>
      </c>
      <c r="AQ48" s="19" t="n">
        <f aca="false">AQ47+IF($B48=1,IF(MOD(2-$D48,7)&lt;Inputs!$B$6,1,0),0)</f>
        <v>2</v>
      </c>
      <c r="AR48" s="19" t="n">
        <f aca="false">AR47+IF($B48=1,IF(MOD(3-$D48,7)&lt;Inputs!$B$6,1,0),0)</f>
        <v>3</v>
      </c>
      <c r="AS48" s="19" t="n">
        <f aca="false">AS47+IF($B48=1,IF(MOD(4-$D48,7)&lt;Inputs!$B$6,1,0),0)</f>
        <v>2</v>
      </c>
      <c r="AT48" s="19" t="n">
        <f aca="false">AT47+IF($B48=1,IF(MOD(5-$D48,7)&lt;Inputs!$B$6,1,0),0)</f>
        <v>3</v>
      </c>
      <c r="AU48" s="19" t="n">
        <f aca="false">AU47+IF($B48=1,IF(MOD(6-$D48,7)&lt;Inputs!$B$6,1,0),0)</f>
        <v>4</v>
      </c>
    </row>
    <row r="49" customFormat="false" ht="15" hidden="false" customHeight="false" outlineLevel="0" collapsed="false">
      <c r="A49" s="0" t="n">
        <v>44</v>
      </c>
      <c r="B49" s="0" t="n">
        <f aca="false">IF(A49&lt;=Inputs!$B$3,1,0)</f>
        <v>0</v>
      </c>
      <c r="C49" s="0" t="n">
        <f aca="false">MOD(5+MOD(A49-1,7),7)</f>
        <v>6</v>
      </c>
      <c r="D49" s="0" t="n">
        <f aca="false">IF(Inputs!C66&lt;&gt;"",MATCH(Inputs!C66,Inputs!$A$11:$A$17,0)-1,IF(B49=0,0,MATCH(MIN(AH49:AN49),AH49:AN49,0)-1))</f>
        <v>0</v>
      </c>
      <c r="F49" s="0" t="n">
        <f aca="false">IF(OR($B49=0,F$3=0),0,IF(MOD(0-$D49,7)&lt;Inputs!$B$6,0,1))</f>
        <v>0</v>
      </c>
      <c r="G49" s="0" t="n">
        <f aca="false">IF(OR($B49=0,G$3=0),0,IF(MOD(1-$D49,7)&lt;Inputs!$B$6,0,1))</f>
        <v>0</v>
      </c>
      <c r="H49" s="0" t="n">
        <f aca="false">IF(OR($B49=0,H$3=0),0,IF(MOD(2-$D49,7)&lt;Inputs!$B$6,0,1))</f>
        <v>0</v>
      </c>
      <c r="I49" s="0" t="n">
        <f aca="false">IF(OR($B49=0,I$3=0),0,IF(MOD(3-$D49,7)&lt;Inputs!$B$6,0,1))</f>
        <v>0</v>
      </c>
      <c r="J49" s="0" t="n">
        <f aca="false">IF(OR($B49=0,J$3=0),0,IF(MOD(4-$D49,7)&lt;Inputs!$B$6,0,1))</f>
        <v>0</v>
      </c>
      <c r="K49" s="0" t="n">
        <f aca="false">IF(OR($B49=0,K$3=0),0,IF(MOD(5-$D49,7)&lt;Inputs!$B$6,0,1))</f>
        <v>0</v>
      </c>
      <c r="L49" s="0" t="n">
        <f aca="false">IF(OR($B49=0,L$3=0),0,IF(MOD(6-$D49,7)&lt;Inputs!$B$6,0,1))</f>
        <v>0</v>
      </c>
      <c r="M49" s="0" t="n">
        <f aca="false">SUM(F$6:F49)</f>
        <v>7</v>
      </c>
      <c r="N49" s="0" t="n">
        <f aca="false">SUM(G$6:G49)</f>
        <v>7</v>
      </c>
      <c r="O49" s="0" t="n">
        <f aca="false">SUM(H$6:H49)</f>
        <v>8</v>
      </c>
      <c r="P49" s="0" t="n">
        <f aca="false">SUM(I$6:I49)</f>
        <v>7</v>
      </c>
      <c r="Q49" s="0" t="n">
        <f aca="false">SUM(J$6:J49)</f>
        <v>8</v>
      </c>
      <c r="R49" s="0" t="n">
        <f aca="false">SUM(K$6:K49)</f>
        <v>7</v>
      </c>
      <c r="S49" s="0" t="n">
        <f aca="false">SUM(L$6:L49)</f>
        <v>6</v>
      </c>
      <c r="T49" s="18" t="n">
        <f aca="false">IF(F49=0,0,IF(Inputs!$D66="Open",F$1,IF(Inputs!$D66="Close",ROUND(F$2*1440-F$3*60,0)/1440,IF(OR(INT((M49-1)/Inputs!$B$7)=0,(INT((M$3-1-MOD(M49-1,Inputs!$B$7))/Inputs!$B$7)+1)&lt;=1),F$1,IF(INT((M49-1)/Inputs!$B$7)&gt;=(INT((M$3-1-MOD(M49-1,Inputs!$B$7))/Inputs!$B$7)+1)-1,ROUND(F$2*1440-F$3*60,0)/1440,MAX(F$1,MIN(ROUND(F$2*1440-F$3*60,0)/1440,ROUND((F$1+INT((M49-1)/Inputs!$B$7)/((INT((M$3-1-MOD(M49-1,Inputs!$B$7))/Inputs!$B$7)+1)-1)*((ROUND(F$2*1440-F$3*60,0)/1440)-F$1))*96,0)/96)))))))</f>
        <v>0</v>
      </c>
      <c r="U49" s="18" t="n">
        <f aca="false">IF(G49=0,0,IF(Inputs!$D66="Open",G$1,IF(Inputs!$D66="Close",ROUND(G$2*1440-G$3*60,0)/1440,IF(OR(INT((N49-1)/Inputs!$B$7)=0,(INT((N$3-1-MOD(N49-1,Inputs!$B$7))/Inputs!$B$7)+1)&lt;=1),G$1,IF(INT((N49-1)/Inputs!$B$7)&gt;=(INT((N$3-1-MOD(N49-1,Inputs!$B$7))/Inputs!$B$7)+1)-1,ROUND(G$2*1440-G$3*60,0)/1440,MAX(G$1,MIN(ROUND(G$2*1440-G$3*60,0)/1440,ROUND((G$1+INT((N49-1)/Inputs!$B$7)/((INT((N$3-1-MOD(N49-1,Inputs!$B$7))/Inputs!$B$7)+1)-1)*((ROUND(G$2*1440-G$3*60,0)/1440)-G$1))*96,0)/96)))))))</f>
        <v>0</v>
      </c>
      <c r="V49" s="18" t="n">
        <f aca="false">IF(H49=0,0,IF(Inputs!$D66="Open",H$1,IF(Inputs!$D66="Close",ROUND(H$2*1440-H$3*60,0)/1440,IF(OR(INT((O49-1)/Inputs!$B$7)=0,(INT((O$3-1-MOD(O49-1,Inputs!$B$7))/Inputs!$B$7)+1)&lt;=1),H$1,IF(INT((O49-1)/Inputs!$B$7)&gt;=(INT((O$3-1-MOD(O49-1,Inputs!$B$7))/Inputs!$B$7)+1)-1,ROUND(H$2*1440-H$3*60,0)/1440,MAX(H$1,MIN(ROUND(H$2*1440-H$3*60,0)/1440,ROUND((H$1+INT((O49-1)/Inputs!$B$7)/((INT((O$3-1-MOD(O49-1,Inputs!$B$7))/Inputs!$B$7)+1)-1)*((ROUND(H$2*1440-H$3*60,0)/1440)-H$1))*96,0)/96)))))))</f>
        <v>0</v>
      </c>
      <c r="W49" s="18" t="n">
        <f aca="false">IF(I49=0,0,IF(Inputs!$D66="Open",I$1,IF(Inputs!$D66="Close",ROUND(I$2*1440-I$3*60,0)/1440,IF(OR(INT((P49-1)/Inputs!$B$7)=0,(INT((P$3-1-MOD(P49-1,Inputs!$B$7))/Inputs!$B$7)+1)&lt;=1),I$1,IF(INT((P49-1)/Inputs!$B$7)&gt;=(INT((P$3-1-MOD(P49-1,Inputs!$B$7))/Inputs!$B$7)+1)-1,ROUND(I$2*1440-I$3*60,0)/1440,MAX(I$1,MIN(ROUND(I$2*1440-I$3*60,0)/1440,ROUND((I$1+INT((P49-1)/Inputs!$B$7)/((INT((P$3-1-MOD(P49-1,Inputs!$B$7))/Inputs!$B$7)+1)-1)*((ROUND(I$2*1440-I$3*60,0)/1440)-I$1))*96,0)/96)))))))</f>
        <v>0</v>
      </c>
      <c r="X49" s="18" t="n">
        <f aca="false">IF(J49=0,0,IF(Inputs!$D66="Open",J$1,IF(Inputs!$D66="Close",ROUND(J$2*1440-J$3*60,0)/1440,IF(OR(INT((Q49-1)/Inputs!$B$7)=0,(INT((Q$3-1-MOD(Q49-1,Inputs!$B$7))/Inputs!$B$7)+1)&lt;=1),J$1,IF(INT((Q49-1)/Inputs!$B$7)&gt;=(INT((Q$3-1-MOD(Q49-1,Inputs!$B$7))/Inputs!$B$7)+1)-1,ROUND(J$2*1440-J$3*60,0)/1440,MAX(J$1,MIN(ROUND(J$2*1440-J$3*60,0)/1440,ROUND((J$1+INT((Q49-1)/Inputs!$B$7)/((INT((Q$3-1-MOD(Q49-1,Inputs!$B$7))/Inputs!$B$7)+1)-1)*((ROUND(J$2*1440-J$3*60,0)/1440)-J$1))*96,0)/96)))))))</f>
        <v>0</v>
      </c>
      <c r="Y49" s="18" t="n">
        <f aca="false">IF(K49=0,0,IF(Inputs!$D66="Open",K$1,IF(Inputs!$D66="Close",ROUND(K$2*1440-K$3*60,0)/1440,IF(OR(INT((R49-1)/Inputs!$B$7)=0,(INT((R$3-1-MOD(R49-1,Inputs!$B$7))/Inputs!$B$7)+1)&lt;=1),K$1,IF(INT((R49-1)/Inputs!$B$7)&gt;=(INT((R$3-1-MOD(R49-1,Inputs!$B$7))/Inputs!$B$7)+1)-1,ROUND(K$2*1440-K$3*60,0)/1440,MAX(K$1,MIN(ROUND(K$2*1440-K$3*60,0)/1440,ROUND((K$1+INT((R49-1)/Inputs!$B$7)/((INT((R$3-1-MOD(R49-1,Inputs!$B$7))/Inputs!$B$7)+1)-1)*((ROUND(K$2*1440-K$3*60,0)/1440)-K$1))*96,0)/96)))))))</f>
        <v>0</v>
      </c>
      <c r="Z49" s="18" t="n">
        <f aca="false">IF(L49=0,0,IF(Inputs!$D66="Open",L$1,IF(Inputs!$D66="Close",ROUND(L$2*1440-L$3*60,0)/1440,IF(OR(INT((S49-1)/Inputs!$B$7)=0,(INT((S$3-1-MOD(S49-1,Inputs!$B$7))/Inputs!$B$7)+1)&lt;=1),L$1,IF(INT((S49-1)/Inputs!$B$7)&gt;=(INT((S$3-1-MOD(S49-1,Inputs!$B$7))/Inputs!$B$7)+1)-1,ROUND(L$2*1440-L$3*60,0)/1440,MAX(L$1,MIN(ROUND(L$2*1440-L$3*60,0)/1440,ROUND((L$1+INT((S49-1)/Inputs!$B$7)/((INT((S$3-1-MOD(S49-1,Inputs!$B$7))/Inputs!$B$7)+1)-1)*((ROUND(L$2*1440-L$3*60,0)/1440)-L$1))*96,0)/96)))))))</f>
        <v>0</v>
      </c>
      <c r="AA49" s="18" t="n">
        <f aca="false">IF(F49=0,0,ROUND(T49*1440+F$3*60,0)/1440)</f>
        <v>0</v>
      </c>
      <c r="AB49" s="18" t="n">
        <f aca="false">IF(G49=0,0,ROUND(U49*1440+G$3*60,0)/1440)</f>
        <v>0</v>
      </c>
      <c r="AC49" s="18" t="n">
        <f aca="false">IF(H49=0,0,ROUND(V49*1440+H$3*60,0)/1440)</f>
        <v>0</v>
      </c>
      <c r="AD49" s="18" t="n">
        <f aca="false">IF(I49=0,0,ROUND(W49*1440+I$3*60,0)/1440)</f>
        <v>0</v>
      </c>
      <c r="AE49" s="18" t="n">
        <f aca="false">IF(J49=0,0,ROUND(X49*1440+J$3*60,0)/1440)</f>
        <v>0</v>
      </c>
      <c r="AF49" s="18" t="n">
        <f aca="false">IF(K49=0,0,ROUND(Y49*1440+K$3*60,0)/1440)</f>
        <v>0</v>
      </c>
      <c r="AG49" s="18" t="n">
        <f aca="false">IF(L49=0,0,ROUND(Z49*1440+L$3*60,0)/1440)</f>
        <v>0</v>
      </c>
      <c r="AH49" s="19" t="n">
        <f aca="false">SUMPRODUCT((MOD(AO$1:AU$1-0,7)&lt;Inputs!$B$6)*AO$2:AU$2*(AO48:AU48+1))*100+MOD(0-5,7)</f>
        <v>1602</v>
      </c>
      <c r="AI49" s="19" t="n">
        <f aca="false">SUMPRODUCT((MOD(AO$1:AU$1-1,7)&lt;Inputs!$B$6)*AO$2:AU$2*(AO48:AU48+1))*100+MOD(1-5,7)</f>
        <v>1403</v>
      </c>
      <c r="AJ49" s="19" t="n">
        <f aca="false">SUMPRODUCT((MOD(AO$1:AU$1-2,7)&lt;Inputs!$B$6)*AO$2:AU$2*(AO48:AU48+1))*100+MOD(2-5,7)</f>
        <v>1404</v>
      </c>
      <c r="AK49" s="19" t="n">
        <f aca="false">SUMPRODUCT((MOD(AO$1:AU$1-3,7)&lt;Inputs!$B$6)*AO$2:AU$2*(AO48:AU48+1))*100+MOD(3-5,7)</f>
        <v>1405</v>
      </c>
      <c r="AL49" s="19" t="n">
        <f aca="false">SUMPRODUCT((MOD(AO$1:AU$1-4,7)&lt;Inputs!$B$6)*AO$2:AU$2*(AO48:AU48+1))*100+MOD(4-5,7)</f>
        <v>1406</v>
      </c>
      <c r="AM49" s="19" t="n">
        <f aca="false">SUMPRODUCT((MOD(AO$1:AU$1-5,7)&lt;Inputs!$B$6)*AO$2:AU$2*(AO48:AU48+1))*100+MOD(5-5,7)</f>
        <v>1800</v>
      </c>
      <c r="AN49" s="19" t="n">
        <f aca="false">SUMPRODUCT((MOD(AO$1:AU$1-6,7)&lt;Inputs!$B$6)*AO$2:AU$2*(AO48:AU48+1))*100+MOD(6-5,7)</f>
        <v>1801</v>
      </c>
      <c r="AO49" s="19" t="n">
        <f aca="false">AO48+IF($B49=1,IF(MOD(0-$D49,7)&lt;Inputs!$B$6,1,0),0)</f>
        <v>3</v>
      </c>
      <c r="AP49" s="19" t="n">
        <f aca="false">AP48+IF($B49=1,IF(MOD(1-$D49,7)&lt;Inputs!$B$6,1,0),0)</f>
        <v>3</v>
      </c>
      <c r="AQ49" s="19" t="n">
        <f aca="false">AQ48+IF($B49=1,IF(MOD(2-$D49,7)&lt;Inputs!$B$6,1,0),0)</f>
        <v>2</v>
      </c>
      <c r="AR49" s="19" t="n">
        <f aca="false">AR48+IF($B49=1,IF(MOD(3-$D49,7)&lt;Inputs!$B$6,1,0),0)</f>
        <v>3</v>
      </c>
      <c r="AS49" s="19" t="n">
        <f aca="false">AS48+IF($B49=1,IF(MOD(4-$D49,7)&lt;Inputs!$B$6,1,0),0)</f>
        <v>2</v>
      </c>
      <c r="AT49" s="19" t="n">
        <f aca="false">AT48+IF($B49=1,IF(MOD(5-$D49,7)&lt;Inputs!$B$6,1,0),0)</f>
        <v>3</v>
      </c>
      <c r="AU49" s="19" t="n">
        <f aca="false">AU48+IF($B49=1,IF(MOD(6-$D49,7)&lt;Inputs!$B$6,1,0),0)</f>
        <v>4</v>
      </c>
    </row>
    <row r="50" customFormat="false" ht="15" hidden="false" customHeight="false" outlineLevel="0" collapsed="false">
      <c r="A50" s="0" t="n">
        <v>45</v>
      </c>
      <c r="B50" s="0" t="n">
        <f aca="false">IF(A50&lt;=Inputs!$B$3,1,0)</f>
        <v>0</v>
      </c>
      <c r="C50" s="0" t="n">
        <f aca="false">MOD(5+MOD(A50-1,7),7)</f>
        <v>0</v>
      </c>
      <c r="D50" s="0" t="n">
        <f aca="false">IF(Inputs!C67&lt;&gt;"",MATCH(Inputs!C67,Inputs!$A$11:$A$17,0)-1,IF(B50=0,0,MATCH(MIN(AH50:AN50),AH50:AN50,0)-1))</f>
        <v>0</v>
      </c>
      <c r="F50" s="0" t="n">
        <f aca="false">IF(OR($B50=0,F$3=0),0,IF(MOD(0-$D50,7)&lt;Inputs!$B$6,0,1))</f>
        <v>0</v>
      </c>
      <c r="G50" s="0" t="n">
        <f aca="false">IF(OR($B50=0,G$3=0),0,IF(MOD(1-$D50,7)&lt;Inputs!$B$6,0,1))</f>
        <v>0</v>
      </c>
      <c r="H50" s="0" t="n">
        <f aca="false">IF(OR($B50=0,H$3=0),0,IF(MOD(2-$D50,7)&lt;Inputs!$B$6,0,1))</f>
        <v>0</v>
      </c>
      <c r="I50" s="0" t="n">
        <f aca="false">IF(OR($B50=0,I$3=0),0,IF(MOD(3-$D50,7)&lt;Inputs!$B$6,0,1))</f>
        <v>0</v>
      </c>
      <c r="J50" s="0" t="n">
        <f aca="false">IF(OR($B50=0,J$3=0),0,IF(MOD(4-$D50,7)&lt;Inputs!$B$6,0,1))</f>
        <v>0</v>
      </c>
      <c r="K50" s="0" t="n">
        <f aca="false">IF(OR($B50=0,K$3=0),0,IF(MOD(5-$D50,7)&lt;Inputs!$B$6,0,1))</f>
        <v>0</v>
      </c>
      <c r="L50" s="0" t="n">
        <f aca="false">IF(OR($B50=0,L$3=0),0,IF(MOD(6-$D50,7)&lt;Inputs!$B$6,0,1))</f>
        <v>0</v>
      </c>
      <c r="M50" s="0" t="n">
        <f aca="false">SUM(F$6:F50)</f>
        <v>7</v>
      </c>
      <c r="N50" s="0" t="n">
        <f aca="false">SUM(G$6:G50)</f>
        <v>7</v>
      </c>
      <c r="O50" s="0" t="n">
        <f aca="false">SUM(H$6:H50)</f>
        <v>8</v>
      </c>
      <c r="P50" s="0" t="n">
        <f aca="false">SUM(I$6:I50)</f>
        <v>7</v>
      </c>
      <c r="Q50" s="0" t="n">
        <f aca="false">SUM(J$6:J50)</f>
        <v>8</v>
      </c>
      <c r="R50" s="0" t="n">
        <f aca="false">SUM(K$6:K50)</f>
        <v>7</v>
      </c>
      <c r="S50" s="0" t="n">
        <f aca="false">SUM(L$6:L50)</f>
        <v>6</v>
      </c>
      <c r="T50" s="18" t="n">
        <f aca="false">IF(F50=0,0,IF(Inputs!$D67="Open",F$1,IF(Inputs!$D67="Close",ROUND(F$2*1440-F$3*60,0)/1440,IF(OR(INT((M50-1)/Inputs!$B$7)=0,(INT((M$3-1-MOD(M50-1,Inputs!$B$7))/Inputs!$B$7)+1)&lt;=1),F$1,IF(INT((M50-1)/Inputs!$B$7)&gt;=(INT((M$3-1-MOD(M50-1,Inputs!$B$7))/Inputs!$B$7)+1)-1,ROUND(F$2*1440-F$3*60,0)/1440,MAX(F$1,MIN(ROUND(F$2*1440-F$3*60,0)/1440,ROUND((F$1+INT((M50-1)/Inputs!$B$7)/((INT((M$3-1-MOD(M50-1,Inputs!$B$7))/Inputs!$B$7)+1)-1)*((ROUND(F$2*1440-F$3*60,0)/1440)-F$1))*96,0)/96)))))))</f>
        <v>0</v>
      </c>
      <c r="U50" s="18" t="n">
        <f aca="false">IF(G50=0,0,IF(Inputs!$D67="Open",G$1,IF(Inputs!$D67="Close",ROUND(G$2*1440-G$3*60,0)/1440,IF(OR(INT((N50-1)/Inputs!$B$7)=0,(INT((N$3-1-MOD(N50-1,Inputs!$B$7))/Inputs!$B$7)+1)&lt;=1),G$1,IF(INT((N50-1)/Inputs!$B$7)&gt;=(INT((N$3-1-MOD(N50-1,Inputs!$B$7))/Inputs!$B$7)+1)-1,ROUND(G$2*1440-G$3*60,0)/1440,MAX(G$1,MIN(ROUND(G$2*1440-G$3*60,0)/1440,ROUND((G$1+INT((N50-1)/Inputs!$B$7)/((INT((N$3-1-MOD(N50-1,Inputs!$B$7))/Inputs!$B$7)+1)-1)*((ROUND(G$2*1440-G$3*60,0)/1440)-G$1))*96,0)/96)))))))</f>
        <v>0</v>
      </c>
      <c r="V50" s="18" t="n">
        <f aca="false">IF(H50=0,0,IF(Inputs!$D67="Open",H$1,IF(Inputs!$D67="Close",ROUND(H$2*1440-H$3*60,0)/1440,IF(OR(INT((O50-1)/Inputs!$B$7)=0,(INT((O$3-1-MOD(O50-1,Inputs!$B$7))/Inputs!$B$7)+1)&lt;=1),H$1,IF(INT((O50-1)/Inputs!$B$7)&gt;=(INT((O$3-1-MOD(O50-1,Inputs!$B$7))/Inputs!$B$7)+1)-1,ROUND(H$2*1440-H$3*60,0)/1440,MAX(H$1,MIN(ROUND(H$2*1440-H$3*60,0)/1440,ROUND((H$1+INT((O50-1)/Inputs!$B$7)/((INT((O$3-1-MOD(O50-1,Inputs!$B$7))/Inputs!$B$7)+1)-1)*((ROUND(H$2*1440-H$3*60,0)/1440)-H$1))*96,0)/96)))))))</f>
        <v>0</v>
      </c>
      <c r="W50" s="18" t="n">
        <f aca="false">IF(I50=0,0,IF(Inputs!$D67="Open",I$1,IF(Inputs!$D67="Close",ROUND(I$2*1440-I$3*60,0)/1440,IF(OR(INT((P50-1)/Inputs!$B$7)=0,(INT((P$3-1-MOD(P50-1,Inputs!$B$7))/Inputs!$B$7)+1)&lt;=1),I$1,IF(INT((P50-1)/Inputs!$B$7)&gt;=(INT((P$3-1-MOD(P50-1,Inputs!$B$7))/Inputs!$B$7)+1)-1,ROUND(I$2*1440-I$3*60,0)/1440,MAX(I$1,MIN(ROUND(I$2*1440-I$3*60,0)/1440,ROUND((I$1+INT((P50-1)/Inputs!$B$7)/((INT((P$3-1-MOD(P50-1,Inputs!$B$7))/Inputs!$B$7)+1)-1)*((ROUND(I$2*1440-I$3*60,0)/1440)-I$1))*96,0)/96)))))))</f>
        <v>0</v>
      </c>
      <c r="X50" s="18" t="n">
        <f aca="false">IF(J50=0,0,IF(Inputs!$D67="Open",J$1,IF(Inputs!$D67="Close",ROUND(J$2*1440-J$3*60,0)/1440,IF(OR(INT((Q50-1)/Inputs!$B$7)=0,(INT((Q$3-1-MOD(Q50-1,Inputs!$B$7))/Inputs!$B$7)+1)&lt;=1),J$1,IF(INT((Q50-1)/Inputs!$B$7)&gt;=(INT((Q$3-1-MOD(Q50-1,Inputs!$B$7))/Inputs!$B$7)+1)-1,ROUND(J$2*1440-J$3*60,0)/1440,MAX(J$1,MIN(ROUND(J$2*1440-J$3*60,0)/1440,ROUND((J$1+INT((Q50-1)/Inputs!$B$7)/((INT((Q$3-1-MOD(Q50-1,Inputs!$B$7))/Inputs!$B$7)+1)-1)*((ROUND(J$2*1440-J$3*60,0)/1440)-J$1))*96,0)/96)))))))</f>
        <v>0</v>
      </c>
      <c r="Y50" s="18" t="n">
        <f aca="false">IF(K50=0,0,IF(Inputs!$D67="Open",K$1,IF(Inputs!$D67="Close",ROUND(K$2*1440-K$3*60,0)/1440,IF(OR(INT((R50-1)/Inputs!$B$7)=0,(INT((R$3-1-MOD(R50-1,Inputs!$B$7))/Inputs!$B$7)+1)&lt;=1),K$1,IF(INT((R50-1)/Inputs!$B$7)&gt;=(INT((R$3-1-MOD(R50-1,Inputs!$B$7))/Inputs!$B$7)+1)-1,ROUND(K$2*1440-K$3*60,0)/1440,MAX(K$1,MIN(ROUND(K$2*1440-K$3*60,0)/1440,ROUND((K$1+INT((R50-1)/Inputs!$B$7)/((INT((R$3-1-MOD(R50-1,Inputs!$B$7))/Inputs!$B$7)+1)-1)*((ROUND(K$2*1440-K$3*60,0)/1440)-K$1))*96,0)/96)))))))</f>
        <v>0</v>
      </c>
      <c r="Z50" s="18" t="n">
        <f aca="false">IF(L50=0,0,IF(Inputs!$D67="Open",L$1,IF(Inputs!$D67="Close",ROUND(L$2*1440-L$3*60,0)/1440,IF(OR(INT((S50-1)/Inputs!$B$7)=0,(INT((S$3-1-MOD(S50-1,Inputs!$B$7))/Inputs!$B$7)+1)&lt;=1),L$1,IF(INT((S50-1)/Inputs!$B$7)&gt;=(INT((S$3-1-MOD(S50-1,Inputs!$B$7))/Inputs!$B$7)+1)-1,ROUND(L$2*1440-L$3*60,0)/1440,MAX(L$1,MIN(ROUND(L$2*1440-L$3*60,0)/1440,ROUND((L$1+INT((S50-1)/Inputs!$B$7)/((INT((S$3-1-MOD(S50-1,Inputs!$B$7))/Inputs!$B$7)+1)-1)*((ROUND(L$2*1440-L$3*60,0)/1440)-L$1))*96,0)/96)))))))</f>
        <v>0</v>
      </c>
      <c r="AA50" s="18" t="n">
        <f aca="false">IF(F50=0,0,ROUND(T50*1440+F$3*60,0)/1440)</f>
        <v>0</v>
      </c>
      <c r="AB50" s="18" t="n">
        <f aca="false">IF(G50=0,0,ROUND(U50*1440+G$3*60,0)/1440)</f>
        <v>0</v>
      </c>
      <c r="AC50" s="18" t="n">
        <f aca="false">IF(H50=0,0,ROUND(V50*1440+H$3*60,0)/1440)</f>
        <v>0</v>
      </c>
      <c r="AD50" s="18" t="n">
        <f aca="false">IF(I50=0,0,ROUND(W50*1440+I$3*60,0)/1440)</f>
        <v>0</v>
      </c>
      <c r="AE50" s="18" t="n">
        <f aca="false">IF(J50=0,0,ROUND(X50*1440+J$3*60,0)/1440)</f>
        <v>0</v>
      </c>
      <c r="AF50" s="18" t="n">
        <f aca="false">IF(K50=0,0,ROUND(Y50*1440+K$3*60,0)/1440)</f>
        <v>0</v>
      </c>
      <c r="AG50" s="18" t="n">
        <f aca="false">IF(L50=0,0,ROUND(Z50*1440+L$3*60,0)/1440)</f>
        <v>0</v>
      </c>
      <c r="AH50" s="19" t="n">
        <f aca="false">SUMPRODUCT((MOD(AO$1:AU$1-0,7)&lt;Inputs!$B$6)*AO$2:AU$2*(AO49:AU49+1))*100+MOD(0-5,7)</f>
        <v>1602</v>
      </c>
      <c r="AI50" s="19" t="n">
        <f aca="false">SUMPRODUCT((MOD(AO$1:AU$1-1,7)&lt;Inputs!$B$6)*AO$2:AU$2*(AO49:AU49+1))*100+MOD(1-5,7)</f>
        <v>1403</v>
      </c>
      <c r="AJ50" s="19" t="n">
        <f aca="false">SUMPRODUCT((MOD(AO$1:AU$1-2,7)&lt;Inputs!$B$6)*AO$2:AU$2*(AO49:AU49+1))*100+MOD(2-5,7)</f>
        <v>1404</v>
      </c>
      <c r="AK50" s="19" t="n">
        <f aca="false">SUMPRODUCT((MOD(AO$1:AU$1-3,7)&lt;Inputs!$B$6)*AO$2:AU$2*(AO49:AU49+1))*100+MOD(3-5,7)</f>
        <v>1405</v>
      </c>
      <c r="AL50" s="19" t="n">
        <f aca="false">SUMPRODUCT((MOD(AO$1:AU$1-4,7)&lt;Inputs!$B$6)*AO$2:AU$2*(AO49:AU49+1))*100+MOD(4-5,7)</f>
        <v>1406</v>
      </c>
      <c r="AM50" s="19" t="n">
        <f aca="false">SUMPRODUCT((MOD(AO$1:AU$1-5,7)&lt;Inputs!$B$6)*AO$2:AU$2*(AO49:AU49+1))*100+MOD(5-5,7)</f>
        <v>1800</v>
      </c>
      <c r="AN50" s="19" t="n">
        <f aca="false">SUMPRODUCT((MOD(AO$1:AU$1-6,7)&lt;Inputs!$B$6)*AO$2:AU$2*(AO49:AU49+1))*100+MOD(6-5,7)</f>
        <v>1801</v>
      </c>
      <c r="AO50" s="19" t="n">
        <f aca="false">AO49+IF($B50=1,IF(MOD(0-$D50,7)&lt;Inputs!$B$6,1,0),0)</f>
        <v>3</v>
      </c>
      <c r="AP50" s="19" t="n">
        <f aca="false">AP49+IF($B50=1,IF(MOD(1-$D50,7)&lt;Inputs!$B$6,1,0),0)</f>
        <v>3</v>
      </c>
      <c r="AQ50" s="19" t="n">
        <f aca="false">AQ49+IF($B50=1,IF(MOD(2-$D50,7)&lt;Inputs!$B$6,1,0),0)</f>
        <v>2</v>
      </c>
      <c r="AR50" s="19" t="n">
        <f aca="false">AR49+IF($B50=1,IF(MOD(3-$D50,7)&lt;Inputs!$B$6,1,0),0)</f>
        <v>3</v>
      </c>
      <c r="AS50" s="19" t="n">
        <f aca="false">AS49+IF($B50=1,IF(MOD(4-$D50,7)&lt;Inputs!$B$6,1,0),0)</f>
        <v>2</v>
      </c>
      <c r="AT50" s="19" t="n">
        <f aca="false">AT49+IF($B50=1,IF(MOD(5-$D50,7)&lt;Inputs!$B$6,1,0),0)</f>
        <v>3</v>
      </c>
      <c r="AU50" s="19" t="n">
        <f aca="false">AU49+IF($B50=1,IF(MOD(6-$D50,7)&lt;Inputs!$B$6,1,0),0)</f>
        <v>4</v>
      </c>
    </row>
    <row r="51" customFormat="false" ht="15" hidden="false" customHeight="false" outlineLevel="0" collapsed="false">
      <c r="A51" s="0" t="n">
        <v>46</v>
      </c>
      <c r="B51" s="0" t="n">
        <f aca="false">IF(A51&lt;=Inputs!$B$3,1,0)</f>
        <v>0</v>
      </c>
      <c r="C51" s="0" t="n">
        <f aca="false">MOD(5+MOD(A51-1,7),7)</f>
        <v>1</v>
      </c>
      <c r="D51" s="0" t="n">
        <f aca="false">IF(Inputs!C68&lt;&gt;"",MATCH(Inputs!C68,Inputs!$A$11:$A$17,0)-1,IF(B51=0,0,MATCH(MIN(AH51:AN51),AH51:AN51,0)-1))</f>
        <v>0</v>
      </c>
      <c r="F51" s="0" t="n">
        <f aca="false">IF(OR($B51=0,F$3=0),0,IF(MOD(0-$D51,7)&lt;Inputs!$B$6,0,1))</f>
        <v>0</v>
      </c>
      <c r="G51" s="0" t="n">
        <f aca="false">IF(OR($B51=0,G$3=0),0,IF(MOD(1-$D51,7)&lt;Inputs!$B$6,0,1))</f>
        <v>0</v>
      </c>
      <c r="H51" s="0" t="n">
        <f aca="false">IF(OR($B51=0,H$3=0),0,IF(MOD(2-$D51,7)&lt;Inputs!$B$6,0,1))</f>
        <v>0</v>
      </c>
      <c r="I51" s="0" t="n">
        <f aca="false">IF(OR($B51=0,I$3=0),0,IF(MOD(3-$D51,7)&lt;Inputs!$B$6,0,1))</f>
        <v>0</v>
      </c>
      <c r="J51" s="0" t="n">
        <f aca="false">IF(OR($B51=0,J$3=0),0,IF(MOD(4-$D51,7)&lt;Inputs!$B$6,0,1))</f>
        <v>0</v>
      </c>
      <c r="K51" s="0" t="n">
        <f aca="false">IF(OR($B51=0,K$3=0),0,IF(MOD(5-$D51,7)&lt;Inputs!$B$6,0,1))</f>
        <v>0</v>
      </c>
      <c r="L51" s="0" t="n">
        <f aca="false">IF(OR($B51=0,L$3=0),0,IF(MOD(6-$D51,7)&lt;Inputs!$B$6,0,1))</f>
        <v>0</v>
      </c>
      <c r="M51" s="0" t="n">
        <f aca="false">SUM(F$6:F51)</f>
        <v>7</v>
      </c>
      <c r="N51" s="0" t="n">
        <f aca="false">SUM(G$6:G51)</f>
        <v>7</v>
      </c>
      <c r="O51" s="0" t="n">
        <f aca="false">SUM(H$6:H51)</f>
        <v>8</v>
      </c>
      <c r="P51" s="0" t="n">
        <f aca="false">SUM(I$6:I51)</f>
        <v>7</v>
      </c>
      <c r="Q51" s="0" t="n">
        <f aca="false">SUM(J$6:J51)</f>
        <v>8</v>
      </c>
      <c r="R51" s="0" t="n">
        <f aca="false">SUM(K$6:K51)</f>
        <v>7</v>
      </c>
      <c r="S51" s="0" t="n">
        <f aca="false">SUM(L$6:L51)</f>
        <v>6</v>
      </c>
      <c r="T51" s="18" t="n">
        <f aca="false">IF(F51=0,0,IF(Inputs!$D68="Open",F$1,IF(Inputs!$D68="Close",ROUND(F$2*1440-F$3*60,0)/1440,IF(OR(INT((M51-1)/Inputs!$B$7)=0,(INT((M$3-1-MOD(M51-1,Inputs!$B$7))/Inputs!$B$7)+1)&lt;=1),F$1,IF(INT((M51-1)/Inputs!$B$7)&gt;=(INT((M$3-1-MOD(M51-1,Inputs!$B$7))/Inputs!$B$7)+1)-1,ROUND(F$2*1440-F$3*60,0)/1440,MAX(F$1,MIN(ROUND(F$2*1440-F$3*60,0)/1440,ROUND((F$1+INT((M51-1)/Inputs!$B$7)/((INT((M$3-1-MOD(M51-1,Inputs!$B$7))/Inputs!$B$7)+1)-1)*((ROUND(F$2*1440-F$3*60,0)/1440)-F$1))*96,0)/96)))))))</f>
        <v>0</v>
      </c>
      <c r="U51" s="18" t="n">
        <f aca="false">IF(G51=0,0,IF(Inputs!$D68="Open",G$1,IF(Inputs!$D68="Close",ROUND(G$2*1440-G$3*60,0)/1440,IF(OR(INT((N51-1)/Inputs!$B$7)=0,(INT((N$3-1-MOD(N51-1,Inputs!$B$7))/Inputs!$B$7)+1)&lt;=1),G$1,IF(INT((N51-1)/Inputs!$B$7)&gt;=(INT((N$3-1-MOD(N51-1,Inputs!$B$7))/Inputs!$B$7)+1)-1,ROUND(G$2*1440-G$3*60,0)/1440,MAX(G$1,MIN(ROUND(G$2*1440-G$3*60,0)/1440,ROUND((G$1+INT((N51-1)/Inputs!$B$7)/((INT((N$3-1-MOD(N51-1,Inputs!$B$7))/Inputs!$B$7)+1)-1)*((ROUND(G$2*1440-G$3*60,0)/1440)-G$1))*96,0)/96)))))))</f>
        <v>0</v>
      </c>
      <c r="V51" s="18" t="n">
        <f aca="false">IF(H51=0,0,IF(Inputs!$D68="Open",H$1,IF(Inputs!$D68="Close",ROUND(H$2*1440-H$3*60,0)/1440,IF(OR(INT((O51-1)/Inputs!$B$7)=0,(INT((O$3-1-MOD(O51-1,Inputs!$B$7))/Inputs!$B$7)+1)&lt;=1),H$1,IF(INT((O51-1)/Inputs!$B$7)&gt;=(INT((O$3-1-MOD(O51-1,Inputs!$B$7))/Inputs!$B$7)+1)-1,ROUND(H$2*1440-H$3*60,0)/1440,MAX(H$1,MIN(ROUND(H$2*1440-H$3*60,0)/1440,ROUND((H$1+INT((O51-1)/Inputs!$B$7)/((INT((O$3-1-MOD(O51-1,Inputs!$B$7))/Inputs!$B$7)+1)-1)*((ROUND(H$2*1440-H$3*60,0)/1440)-H$1))*96,0)/96)))))))</f>
        <v>0</v>
      </c>
      <c r="W51" s="18" t="n">
        <f aca="false">IF(I51=0,0,IF(Inputs!$D68="Open",I$1,IF(Inputs!$D68="Close",ROUND(I$2*1440-I$3*60,0)/1440,IF(OR(INT((P51-1)/Inputs!$B$7)=0,(INT((P$3-1-MOD(P51-1,Inputs!$B$7))/Inputs!$B$7)+1)&lt;=1),I$1,IF(INT((P51-1)/Inputs!$B$7)&gt;=(INT((P$3-1-MOD(P51-1,Inputs!$B$7))/Inputs!$B$7)+1)-1,ROUND(I$2*1440-I$3*60,0)/1440,MAX(I$1,MIN(ROUND(I$2*1440-I$3*60,0)/1440,ROUND((I$1+INT((P51-1)/Inputs!$B$7)/((INT((P$3-1-MOD(P51-1,Inputs!$B$7))/Inputs!$B$7)+1)-1)*((ROUND(I$2*1440-I$3*60,0)/1440)-I$1))*96,0)/96)))))))</f>
        <v>0</v>
      </c>
      <c r="X51" s="18" t="n">
        <f aca="false">IF(J51=0,0,IF(Inputs!$D68="Open",J$1,IF(Inputs!$D68="Close",ROUND(J$2*1440-J$3*60,0)/1440,IF(OR(INT((Q51-1)/Inputs!$B$7)=0,(INT((Q$3-1-MOD(Q51-1,Inputs!$B$7))/Inputs!$B$7)+1)&lt;=1),J$1,IF(INT((Q51-1)/Inputs!$B$7)&gt;=(INT((Q$3-1-MOD(Q51-1,Inputs!$B$7))/Inputs!$B$7)+1)-1,ROUND(J$2*1440-J$3*60,0)/1440,MAX(J$1,MIN(ROUND(J$2*1440-J$3*60,0)/1440,ROUND((J$1+INT((Q51-1)/Inputs!$B$7)/((INT((Q$3-1-MOD(Q51-1,Inputs!$B$7))/Inputs!$B$7)+1)-1)*((ROUND(J$2*1440-J$3*60,0)/1440)-J$1))*96,0)/96)))))))</f>
        <v>0</v>
      </c>
      <c r="Y51" s="18" t="n">
        <f aca="false">IF(K51=0,0,IF(Inputs!$D68="Open",K$1,IF(Inputs!$D68="Close",ROUND(K$2*1440-K$3*60,0)/1440,IF(OR(INT((R51-1)/Inputs!$B$7)=0,(INT((R$3-1-MOD(R51-1,Inputs!$B$7))/Inputs!$B$7)+1)&lt;=1),K$1,IF(INT((R51-1)/Inputs!$B$7)&gt;=(INT((R$3-1-MOD(R51-1,Inputs!$B$7))/Inputs!$B$7)+1)-1,ROUND(K$2*1440-K$3*60,0)/1440,MAX(K$1,MIN(ROUND(K$2*1440-K$3*60,0)/1440,ROUND((K$1+INT((R51-1)/Inputs!$B$7)/((INT((R$3-1-MOD(R51-1,Inputs!$B$7))/Inputs!$B$7)+1)-1)*((ROUND(K$2*1440-K$3*60,0)/1440)-K$1))*96,0)/96)))))))</f>
        <v>0</v>
      </c>
      <c r="Z51" s="18" t="n">
        <f aca="false">IF(L51=0,0,IF(Inputs!$D68="Open",L$1,IF(Inputs!$D68="Close",ROUND(L$2*1440-L$3*60,0)/1440,IF(OR(INT((S51-1)/Inputs!$B$7)=0,(INT((S$3-1-MOD(S51-1,Inputs!$B$7))/Inputs!$B$7)+1)&lt;=1),L$1,IF(INT((S51-1)/Inputs!$B$7)&gt;=(INT((S$3-1-MOD(S51-1,Inputs!$B$7))/Inputs!$B$7)+1)-1,ROUND(L$2*1440-L$3*60,0)/1440,MAX(L$1,MIN(ROUND(L$2*1440-L$3*60,0)/1440,ROUND((L$1+INT((S51-1)/Inputs!$B$7)/((INT((S$3-1-MOD(S51-1,Inputs!$B$7))/Inputs!$B$7)+1)-1)*((ROUND(L$2*1440-L$3*60,0)/1440)-L$1))*96,0)/96)))))))</f>
        <v>0</v>
      </c>
      <c r="AA51" s="18" t="n">
        <f aca="false">IF(F51=0,0,ROUND(T51*1440+F$3*60,0)/1440)</f>
        <v>0</v>
      </c>
      <c r="AB51" s="18" t="n">
        <f aca="false">IF(G51=0,0,ROUND(U51*1440+G$3*60,0)/1440)</f>
        <v>0</v>
      </c>
      <c r="AC51" s="18" t="n">
        <f aca="false">IF(H51=0,0,ROUND(V51*1440+H$3*60,0)/1440)</f>
        <v>0</v>
      </c>
      <c r="AD51" s="18" t="n">
        <f aca="false">IF(I51=0,0,ROUND(W51*1440+I$3*60,0)/1440)</f>
        <v>0</v>
      </c>
      <c r="AE51" s="18" t="n">
        <f aca="false">IF(J51=0,0,ROUND(X51*1440+J$3*60,0)/1440)</f>
        <v>0</v>
      </c>
      <c r="AF51" s="18" t="n">
        <f aca="false">IF(K51=0,0,ROUND(Y51*1440+K$3*60,0)/1440)</f>
        <v>0</v>
      </c>
      <c r="AG51" s="18" t="n">
        <f aca="false">IF(L51=0,0,ROUND(Z51*1440+L$3*60,0)/1440)</f>
        <v>0</v>
      </c>
      <c r="AH51" s="19" t="n">
        <f aca="false">SUMPRODUCT((MOD(AO$1:AU$1-0,7)&lt;Inputs!$B$6)*AO$2:AU$2*(AO50:AU50+1))*100+MOD(0-5,7)</f>
        <v>1602</v>
      </c>
      <c r="AI51" s="19" t="n">
        <f aca="false">SUMPRODUCT((MOD(AO$1:AU$1-1,7)&lt;Inputs!$B$6)*AO$2:AU$2*(AO50:AU50+1))*100+MOD(1-5,7)</f>
        <v>1403</v>
      </c>
      <c r="AJ51" s="19" t="n">
        <f aca="false">SUMPRODUCT((MOD(AO$1:AU$1-2,7)&lt;Inputs!$B$6)*AO$2:AU$2*(AO50:AU50+1))*100+MOD(2-5,7)</f>
        <v>1404</v>
      </c>
      <c r="AK51" s="19" t="n">
        <f aca="false">SUMPRODUCT((MOD(AO$1:AU$1-3,7)&lt;Inputs!$B$6)*AO$2:AU$2*(AO50:AU50+1))*100+MOD(3-5,7)</f>
        <v>1405</v>
      </c>
      <c r="AL51" s="19" t="n">
        <f aca="false">SUMPRODUCT((MOD(AO$1:AU$1-4,7)&lt;Inputs!$B$6)*AO$2:AU$2*(AO50:AU50+1))*100+MOD(4-5,7)</f>
        <v>1406</v>
      </c>
      <c r="AM51" s="19" t="n">
        <f aca="false">SUMPRODUCT((MOD(AO$1:AU$1-5,7)&lt;Inputs!$B$6)*AO$2:AU$2*(AO50:AU50+1))*100+MOD(5-5,7)</f>
        <v>1800</v>
      </c>
      <c r="AN51" s="19" t="n">
        <f aca="false">SUMPRODUCT((MOD(AO$1:AU$1-6,7)&lt;Inputs!$B$6)*AO$2:AU$2*(AO50:AU50+1))*100+MOD(6-5,7)</f>
        <v>1801</v>
      </c>
      <c r="AO51" s="19" t="n">
        <f aca="false">AO50+IF($B51=1,IF(MOD(0-$D51,7)&lt;Inputs!$B$6,1,0),0)</f>
        <v>3</v>
      </c>
      <c r="AP51" s="19" t="n">
        <f aca="false">AP50+IF($B51=1,IF(MOD(1-$D51,7)&lt;Inputs!$B$6,1,0),0)</f>
        <v>3</v>
      </c>
      <c r="AQ51" s="19" t="n">
        <f aca="false">AQ50+IF($B51=1,IF(MOD(2-$D51,7)&lt;Inputs!$B$6,1,0),0)</f>
        <v>2</v>
      </c>
      <c r="AR51" s="19" t="n">
        <f aca="false">AR50+IF($B51=1,IF(MOD(3-$D51,7)&lt;Inputs!$B$6,1,0),0)</f>
        <v>3</v>
      </c>
      <c r="AS51" s="19" t="n">
        <f aca="false">AS50+IF($B51=1,IF(MOD(4-$D51,7)&lt;Inputs!$B$6,1,0),0)</f>
        <v>2</v>
      </c>
      <c r="AT51" s="19" t="n">
        <f aca="false">AT50+IF($B51=1,IF(MOD(5-$D51,7)&lt;Inputs!$B$6,1,0),0)</f>
        <v>3</v>
      </c>
      <c r="AU51" s="19" t="n">
        <f aca="false">AU50+IF($B51=1,IF(MOD(6-$D51,7)&lt;Inputs!$B$6,1,0),0)</f>
        <v>4</v>
      </c>
    </row>
    <row r="52" customFormat="false" ht="15" hidden="false" customHeight="false" outlineLevel="0" collapsed="false">
      <c r="A52" s="0" t="n">
        <v>47</v>
      </c>
      <c r="B52" s="0" t="n">
        <f aca="false">IF(A52&lt;=Inputs!$B$3,1,0)</f>
        <v>0</v>
      </c>
      <c r="C52" s="0" t="n">
        <f aca="false">MOD(5+MOD(A52-1,7),7)</f>
        <v>2</v>
      </c>
      <c r="D52" s="0" t="n">
        <f aca="false">IF(Inputs!C69&lt;&gt;"",MATCH(Inputs!C69,Inputs!$A$11:$A$17,0)-1,IF(B52=0,0,MATCH(MIN(AH52:AN52),AH52:AN52,0)-1))</f>
        <v>0</v>
      </c>
      <c r="F52" s="0" t="n">
        <f aca="false">IF(OR($B52=0,F$3=0),0,IF(MOD(0-$D52,7)&lt;Inputs!$B$6,0,1))</f>
        <v>0</v>
      </c>
      <c r="G52" s="0" t="n">
        <f aca="false">IF(OR($B52=0,G$3=0),0,IF(MOD(1-$D52,7)&lt;Inputs!$B$6,0,1))</f>
        <v>0</v>
      </c>
      <c r="H52" s="0" t="n">
        <f aca="false">IF(OR($B52=0,H$3=0),0,IF(MOD(2-$D52,7)&lt;Inputs!$B$6,0,1))</f>
        <v>0</v>
      </c>
      <c r="I52" s="0" t="n">
        <f aca="false">IF(OR($B52=0,I$3=0),0,IF(MOD(3-$D52,7)&lt;Inputs!$B$6,0,1))</f>
        <v>0</v>
      </c>
      <c r="J52" s="0" t="n">
        <f aca="false">IF(OR($B52=0,J$3=0),0,IF(MOD(4-$D52,7)&lt;Inputs!$B$6,0,1))</f>
        <v>0</v>
      </c>
      <c r="K52" s="0" t="n">
        <f aca="false">IF(OR($B52=0,K$3=0),0,IF(MOD(5-$D52,7)&lt;Inputs!$B$6,0,1))</f>
        <v>0</v>
      </c>
      <c r="L52" s="0" t="n">
        <f aca="false">IF(OR($B52=0,L$3=0),0,IF(MOD(6-$D52,7)&lt;Inputs!$B$6,0,1))</f>
        <v>0</v>
      </c>
      <c r="M52" s="0" t="n">
        <f aca="false">SUM(F$6:F52)</f>
        <v>7</v>
      </c>
      <c r="N52" s="0" t="n">
        <f aca="false">SUM(G$6:G52)</f>
        <v>7</v>
      </c>
      <c r="O52" s="0" t="n">
        <f aca="false">SUM(H$6:H52)</f>
        <v>8</v>
      </c>
      <c r="P52" s="0" t="n">
        <f aca="false">SUM(I$6:I52)</f>
        <v>7</v>
      </c>
      <c r="Q52" s="0" t="n">
        <f aca="false">SUM(J$6:J52)</f>
        <v>8</v>
      </c>
      <c r="R52" s="0" t="n">
        <f aca="false">SUM(K$6:K52)</f>
        <v>7</v>
      </c>
      <c r="S52" s="0" t="n">
        <f aca="false">SUM(L$6:L52)</f>
        <v>6</v>
      </c>
      <c r="T52" s="18" t="n">
        <f aca="false">IF(F52=0,0,IF(Inputs!$D69="Open",F$1,IF(Inputs!$D69="Close",ROUND(F$2*1440-F$3*60,0)/1440,IF(OR(INT((M52-1)/Inputs!$B$7)=0,(INT((M$3-1-MOD(M52-1,Inputs!$B$7))/Inputs!$B$7)+1)&lt;=1),F$1,IF(INT((M52-1)/Inputs!$B$7)&gt;=(INT((M$3-1-MOD(M52-1,Inputs!$B$7))/Inputs!$B$7)+1)-1,ROUND(F$2*1440-F$3*60,0)/1440,MAX(F$1,MIN(ROUND(F$2*1440-F$3*60,0)/1440,ROUND((F$1+INT((M52-1)/Inputs!$B$7)/((INT((M$3-1-MOD(M52-1,Inputs!$B$7))/Inputs!$B$7)+1)-1)*((ROUND(F$2*1440-F$3*60,0)/1440)-F$1))*96,0)/96)))))))</f>
        <v>0</v>
      </c>
      <c r="U52" s="18" t="n">
        <f aca="false">IF(G52=0,0,IF(Inputs!$D69="Open",G$1,IF(Inputs!$D69="Close",ROUND(G$2*1440-G$3*60,0)/1440,IF(OR(INT((N52-1)/Inputs!$B$7)=0,(INT((N$3-1-MOD(N52-1,Inputs!$B$7))/Inputs!$B$7)+1)&lt;=1),G$1,IF(INT((N52-1)/Inputs!$B$7)&gt;=(INT((N$3-1-MOD(N52-1,Inputs!$B$7))/Inputs!$B$7)+1)-1,ROUND(G$2*1440-G$3*60,0)/1440,MAX(G$1,MIN(ROUND(G$2*1440-G$3*60,0)/1440,ROUND((G$1+INT((N52-1)/Inputs!$B$7)/((INT((N$3-1-MOD(N52-1,Inputs!$B$7))/Inputs!$B$7)+1)-1)*((ROUND(G$2*1440-G$3*60,0)/1440)-G$1))*96,0)/96)))))))</f>
        <v>0</v>
      </c>
      <c r="V52" s="18" t="n">
        <f aca="false">IF(H52=0,0,IF(Inputs!$D69="Open",H$1,IF(Inputs!$D69="Close",ROUND(H$2*1440-H$3*60,0)/1440,IF(OR(INT((O52-1)/Inputs!$B$7)=0,(INT((O$3-1-MOD(O52-1,Inputs!$B$7))/Inputs!$B$7)+1)&lt;=1),H$1,IF(INT((O52-1)/Inputs!$B$7)&gt;=(INT((O$3-1-MOD(O52-1,Inputs!$B$7))/Inputs!$B$7)+1)-1,ROUND(H$2*1440-H$3*60,0)/1440,MAX(H$1,MIN(ROUND(H$2*1440-H$3*60,0)/1440,ROUND((H$1+INT((O52-1)/Inputs!$B$7)/((INT((O$3-1-MOD(O52-1,Inputs!$B$7))/Inputs!$B$7)+1)-1)*((ROUND(H$2*1440-H$3*60,0)/1440)-H$1))*96,0)/96)))))))</f>
        <v>0</v>
      </c>
      <c r="W52" s="18" t="n">
        <f aca="false">IF(I52=0,0,IF(Inputs!$D69="Open",I$1,IF(Inputs!$D69="Close",ROUND(I$2*1440-I$3*60,0)/1440,IF(OR(INT((P52-1)/Inputs!$B$7)=0,(INT((P$3-1-MOD(P52-1,Inputs!$B$7))/Inputs!$B$7)+1)&lt;=1),I$1,IF(INT((P52-1)/Inputs!$B$7)&gt;=(INT((P$3-1-MOD(P52-1,Inputs!$B$7))/Inputs!$B$7)+1)-1,ROUND(I$2*1440-I$3*60,0)/1440,MAX(I$1,MIN(ROUND(I$2*1440-I$3*60,0)/1440,ROUND((I$1+INT((P52-1)/Inputs!$B$7)/((INT((P$3-1-MOD(P52-1,Inputs!$B$7))/Inputs!$B$7)+1)-1)*((ROUND(I$2*1440-I$3*60,0)/1440)-I$1))*96,0)/96)))))))</f>
        <v>0</v>
      </c>
      <c r="X52" s="18" t="n">
        <f aca="false">IF(J52=0,0,IF(Inputs!$D69="Open",J$1,IF(Inputs!$D69="Close",ROUND(J$2*1440-J$3*60,0)/1440,IF(OR(INT((Q52-1)/Inputs!$B$7)=0,(INT((Q$3-1-MOD(Q52-1,Inputs!$B$7))/Inputs!$B$7)+1)&lt;=1),J$1,IF(INT((Q52-1)/Inputs!$B$7)&gt;=(INT((Q$3-1-MOD(Q52-1,Inputs!$B$7))/Inputs!$B$7)+1)-1,ROUND(J$2*1440-J$3*60,0)/1440,MAX(J$1,MIN(ROUND(J$2*1440-J$3*60,0)/1440,ROUND((J$1+INT((Q52-1)/Inputs!$B$7)/((INT((Q$3-1-MOD(Q52-1,Inputs!$B$7))/Inputs!$B$7)+1)-1)*((ROUND(J$2*1440-J$3*60,0)/1440)-J$1))*96,0)/96)))))))</f>
        <v>0</v>
      </c>
      <c r="Y52" s="18" t="n">
        <f aca="false">IF(K52=0,0,IF(Inputs!$D69="Open",K$1,IF(Inputs!$D69="Close",ROUND(K$2*1440-K$3*60,0)/1440,IF(OR(INT((R52-1)/Inputs!$B$7)=0,(INT((R$3-1-MOD(R52-1,Inputs!$B$7))/Inputs!$B$7)+1)&lt;=1),K$1,IF(INT((R52-1)/Inputs!$B$7)&gt;=(INT((R$3-1-MOD(R52-1,Inputs!$B$7))/Inputs!$B$7)+1)-1,ROUND(K$2*1440-K$3*60,0)/1440,MAX(K$1,MIN(ROUND(K$2*1440-K$3*60,0)/1440,ROUND((K$1+INT((R52-1)/Inputs!$B$7)/((INT((R$3-1-MOD(R52-1,Inputs!$B$7))/Inputs!$B$7)+1)-1)*((ROUND(K$2*1440-K$3*60,0)/1440)-K$1))*96,0)/96)))))))</f>
        <v>0</v>
      </c>
      <c r="Z52" s="18" t="n">
        <f aca="false">IF(L52=0,0,IF(Inputs!$D69="Open",L$1,IF(Inputs!$D69="Close",ROUND(L$2*1440-L$3*60,0)/1440,IF(OR(INT((S52-1)/Inputs!$B$7)=0,(INT((S$3-1-MOD(S52-1,Inputs!$B$7))/Inputs!$B$7)+1)&lt;=1),L$1,IF(INT((S52-1)/Inputs!$B$7)&gt;=(INT((S$3-1-MOD(S52-1,Inputs!$B$7))/Inputs!$B$7)+1)-1,ROUND(L$2*1440-L$3*60,0)/1440,MAX(L$1,MIN(ROUND(L$2*1440-L$3*60,0)/1440,ROUND((L$1+INT((S52-1)/Inputs!$B$7)/((INT((S$3-1-MOD(S52-1,Inputs!$B$7))/Inputs!$B$7)+1)-1)*((ROUND(L$2*1440-L$3*60,0)/1440)-L$1))*96,0)/96)))))))</f>
        <v>0</v>
      </c>
      <c r="AA52" s="18" t="n">
        <f aca="false">IF(F52=0,0,ROUND(T52*1440+F$3*60,0)/1440)</f>
        <v>0</v>
      </c>
      <c r="AB52" s="18" t="n">
        <f aca="false">IF(G52=0,0,ROUND(U52*1440+G$3*60,0)/1440)</f>
        <v>0</v>
      </c>
      <c r="AC52" s="18" t="n">
        <f aca="false">IF(H52=0,0,ROUND(V52*1440+H$3*60,0)/1440)</f>
        <v>0</v>
      </c>
      <c r="AD52" s="18" t="n">
        <f aca="false">IF(I52=0,0,ROUND(W52*1440+I$3*60,0)/1440)</f>
        <v>0</v>
      </c>
      <c r="AE52" s="18" t="n">
        <f aca="false">IF(J52=0,0,ROUND(X52*1440+J$3*60,0)/1440)</f>
        <v>0</v>
      </c>
      <c r="AF52" s="18" t="n">
        <f aca="false">IF(K52=0,0,ROUND(Y52*1440+K$3*60,0)/1440)</f>
        <v>0</v>
      </c>
      <c r="AG52" s="18" t="n">
        <f aca="false">IF(L52=0,0,ROUND(Z52*1440+L$3*60,0)/1440)</f>
        <v>0</v>
      </c>
      <c r="AH52" s="19" t="n">
        <f aca="false">SUMPRODUCT((MOD(AO$1:AU$1-0,7)&lt;Inputs!$B$6)*AO$2:AU$2*(AO51:AU51+1))*100+MOD(0-5,7)</f>
        <v>1602</v>
      </c>
      <c r="AI52" s="19" t="n">
        <f aca="false">SUMPRODUCT((MOD(AO$1:AU$1-1,7)&lt;Inputs!$B$6)*AO$2:AU$2*(AO51:AU51+1))*100+MOD(1-5,7)</f>
        <v>1403</v>
      </c>
      <c r="AJ52" s="19" t="n">
        <f aca="false">SUMPRODUCT((MOD(AO$1:AU$1-2,7)&lt;Inputs!$B$6)*AO$2:AU$2*(AO51:AU51+1))*100+MOD(2-5,7)</f>
        <v>1404</v>
      </c>
      <c r="AK52" s="19" t="n">
        <f aca="false">SUMPRODUCT((MOD(AO$1:AU$1-3,7)&lt;Inputs!$B$6)*AO$2:AU$2*(AO51:AU51+1))*100+MOD(3-5,7)</f>
        <v>1405</v>
      </c>
      <c r="AL52" s="19" t="n">
        <f aca="false">SUMPRODUCT((MOD(AO$1:AU$1-4,7)&lt;Inputs!$B$6)*AO$2:AU$2*(AO51:AU51+1))*100+MOD(4-5,7)</f>
        <v>1406</v>
      </c>
      <c r="AM52" s="19" t="n">
        <f aca="false">SUMPRODUCT((MOD(AO$1:AU$1-5,7)&lt;Inputs!$B$6)*AO$2:AU$2*(AO51:AU51+1))*100+MOD(5-5,7)</f>
        <v>1800</v>
      </c>
      <c r="AN52" s="19" t="n">
        <f aca="false">SUMPRODUCT((MOD(AO$1:AU$1-6,7)&lt;Inputs!$B$6)*AO$2:AU$2*(AO51:AU51+1))*100+MOD(6-5,7)</f>
        <v>1801</v>
      </c>
      <c r="AO52" s="19" t="n">
        <f aca="false">AO51+IF($B52=1,IF(MOD(0-$D52,7)&lt;Inputs!$B$6,1,0),0)</f>
        <v>3</v>
      </c>
      <c r="AP52" s="19" t="n">
        <f aca="false">AP51+IF($B52=1,IF(MOD(1-$D52,7)&lt;Inputs!$B$6,1,0),0)</f>
        <v>3</v>
      </c>
      <c r="AQ52" s="19" t="n">
        <f aca="false">AQ51+IF($B52=1,IF(MOD(2-$D52,7)&lt;Inputs!$B$6,1,0),0)</f>
        <v>2</v>
      </c>
      <c r="AR52" s="19" t="n">
        <f aca="false">AR51+IF($B52=1,IF(MOD(3-$D52,7)&lt;Inputs!$B$6,1,0),0)</f>
        <v>3</v>
      </c>
      <c r="AS52" s="19" t="n">
        <f aca="false">AS51+IF($B52=1,IF(MOD(4-$D52,7)&lt;Inputs!$B$6,1,0),0)</f>
        <v>2</v>
      </c>
      <c r="AT52" s="19" t="n">
        <f aca="false">AT51+IF($B52=1,IF(MOD(5-$D52,7)&lt;Inputs!$B$6,1,0),0)</f>
        <v>3</v>
      </c>
      <c r="AU52" s="19" t="n">
        <f aca="false">AU51+IF($B52=1,IF(MOD(6-$D52,7)&lt;Inputs!$B$6,1,0),0)</f>
        <v>4</v>
      </c>
    </row>
    <row r="53" customFormat="false" ht="15" hidden="false" customHeight="false" outlineLevel="0" collapsed="false">
      <c r="A53" s="0" t="n">
        <v>48</v>
      </c>
      <c r="B53" s="0" t="n">
        <f aca="false">IF(A53&lt;=Inputs!$B$3,1,0)</f>
        <v>0</v>
      </c>
      <c r="C53" s="0" t="n">
        <f aca="false">MOD(5+MOD(A53-1,7),7)</f>
        <v>3</v>
      </c>
      <c r="D53" s="0" t="n">
        <f aca="false">IF(Inputs!C70&lt;&gt;"",MATCH(Inputs!C70,Inputs!$A$11:$A$17,0)-1,IF(B53=0,0,MATCH(MIN(AH53:AN53),AH53:AN53,0)-1))</f>
        <v>0</v>
      </c>
      <c r="F53" s="0" t="n">
        <f aca="false">IF(OR($B53=0,F$3=0),0,IF(MOD(0-$D53,7)&lt;Inputs!$B$6,0,1))</f>
        <v>0</v>
      </c>
      <c r="G53" s="0" t="n">
        <f aca="false">IF(OR($B53=0,G$3=0),0,IF(MOD(1-$D53,7)&lt;Inputs!$B$6,0,1))</f>
        <v>0</v>
      </c>
      <c r="H53" s="0" t="n">
        <f aca="false">IF(OR($B53=0,H$3=0),0,IF(MOD(2-$D53,7)&lt;Inputs!$B$6,0,1))</f>
        <v>0</v>
      </c>
      <c r="I53" s="0" t="n">
        <f aca="false">IF(OR($B53=0,I$3=0),0,IF(MOD(3-$D53,7)&lt;Inputs!$B$6,0,1))</f>
        <v>0</v>
      </c>
      <c r="J53" s="0" t="n">
        <f aca="false">IF(OR($B53=0,J$3=0),0,IF(MOD(4-$D53,7)&lt;Inputs!$B$6,0,1))</f>
        <v>0</v>
      </c>
      <c r="K53" s="0" t="n">
        <f aca="false">IF(OR($B53=0,K$3=0),0,IF(MOD(5-$D53,7)&lt;Inputs!$B$6,0,1))</f>
        <v>0</v>
      </c>
      <c r="L53" s="0" t="n">
        <f aca="false">IF(OR($B53=0,L$3=0),0,IF(MOD(6-$D53,7)&lt;Inputs!$B$6,0,1))</f>
        <v>0</v>
      </c>
      <c r="M53" s="0" t="n">
        <f aca="false">SUM(F$6:F53)</f>
        <v>7</v>
      </c>
      <c r="N53" s="0" t="n">
        <f aca="false">SUM(G$6:G53)</f>
        <v>7</v>
      </c>
      <c r="O53" s="0" t="n">
        <f aca="false">SUM(H$6:H53)</f>
        <v>8</v>
      </c>
      <c r="P53" s="0" t="n">
        <f aca="false">SUM(I$6:I53)</f>
        <v>7</v>
      </c>
      <c r="Q53" s="0" t="n">
        <f aca="false">SUM(J$6:J53)</f>
        <v>8</v>
      </c>
      <c r="R53" s="0" t="n">
        <f aca="false">SUM(K$6:K53)</f>
        <v>7</v>
      </c>
      <c r="S53" s="0" t="n">
        <f aca="false">SUM(L$6:L53)</f>
        <v>6</v>
      </c>
      <c r="T53" s="18" t="n">
        <f aca="false">IF(F53=0,0,IF(Inputs!$D70="Open",F$1,IF(Inputs!$D70="Close",ROUND(F$2*1440-F$3*60,0)/1440,IF(OR(INT((M53-1)/Inputs!$B$7)=0,(INT((M$3-1-MOD(M53-1,Inputs!$B$7))/Inputs!$B$7)+1)&lt;=1),F$1,IF(INT((M53-1)/Inputs!$B$7)&gt;=(INT((M$3-1-MOD(M53-1,Inputs!$B$7))/Inputs!$B$7)+1)-1,ROUND(F$2*1440-F$3*60,0)/1440,MAX(F$1,MIN(ROUND(F$2*1440-F$3*60,0)/1440,ROUND((F$1+INT((M53-1)/Inputs!$B$7)/((INT((M$3-1-MOD(M53-1,Inputs!$B$7))/Inputs!$B$7)+1)-1)*((ROUND(F$2*1440-F$3*60,0)/1440)-F$1))*96,0)/96)))))))</f>
        <v>0</v>
      </c>
      <c r="U53" s="18" t="n">
        <f aca="false">IF(G53=0,0,IF(Inputs!$D70="Open",G$1,IF(Inputs!$D70="Close",ROUND(G$2*1440-G$3*60,0)/1440,IF(OR(INT((N53-1)/Inputs!$B$7)=0,(INT((N$3-1-MOD(N53-1,Inputs!$B$7))/Inputs!$B$7)+1)&lt;=1),G$1,IF(INT((N53-1)/Inputs!$B$7)&gt;=(INT((N$3-1-MOD(N53-1,Inputs!$B$7))/Inputs!$B$7)+1)-1,ROUND(G$2*1440-G$3*60,0)/1440,MAX(G$1,MIN(ROUND(G$2*1440-G$3*60,0)/1440,ROUND((G$1+INT((N53-1)/Inputs!$B$7)/((INT((N$3-1-MOD(N53-1,Inputs!$B$7))/Inputs!$B$7)+1)-1)*((ROUND(G$2*1440-G$3*60,0)/1440)-G$1))*96,0)/96)))))))</f>
        <v>0</v>
      </c>
      <c r="V53" s="18" t="n">
        <f aca="false">IF(H53=0,0,IF(Inputs!$D70="Open",H$1,IF(Inputs!$D70="Close",ROUND(H$2*1440-H$3*60,0)/1440,IF(OR(INT((O53-1)/Inputs!$B$7)=0,(INT((O$3-1-MOD(O53-1,Inputs!$B$7))/Inputs!$B$7)+1)&lt;=1),H$1,IF(INT((O53-1)/Inputs!$B$7)&gt;=(INT((O$3-1-MOD(O53-1,Inputs!$B$7))/Inputs!$B$7)+1)-1,ROUND(H$2*1440-H$3*60,0)/1440,MAX(H$1,MIN(ROUND(H$2*1440-H$3*60,0)/1440,ROUND((H$1+INT((O53-1)/Inputs!$B$7)/((INT((O$3-1-MOD(O53-1,Inputs!$B$7))/Inputs!$B$7)+1)-1)*((ROUND(H$2*1440-H$3*60,0)/1440)-H$1))*96,0)/96)))))))</f>
        <v>0</v>
      </c>
      <c r="W53" s="18" t="n">
        <f aca="false">IF(I53=0,0,IF(Inputs!$D70="Open",I$1,IF(Inputs!$D70="Close",ROUND(I$2*1440-I$3*60,0)/1440,IF(OR(INT((P53-1)/Inputs!$B$7)=0,(INT((P$3-1-MOD(P53-1,Inputs!$B$7))/Inputs!$B$7)+1)&lt;=1),I$1,IF(INT((P53-1)/Inputs!$B$7)&gt;=(INT((P$3-1-MOD(P53-1,Inputs!$B$7))/Inputs!$B$7)+1)-1,ROUND(I$2*1440-I$3*60,0)/1440,MAX(I$1,MIN(ROUND(I$2*1440-I$3*60,0)/1440,ROUND((I$1+INT((P53-1)/Inputs!$B$7)/((INT((P$3-1-MOD(P53-1,Inputs!$B$7))/Inputs!$B$7)+1)-1)*((ROUND(I$2*1440-I$3*60,0)/1440)-I$1))*96,0)/96)))))))</f>
        <v>0</v>
      </c>
      <c r="X53" s="18" t="n">
        <f aca="false">IF(J53=0,0,IF(Inputs!$D70="Open",J$1,IF(Inputs!$D70="Close",ROUND(J$2*1440-J$3*60,0)/1440,IF(OR(INT((Q53-1)/Inputs!$B$7)=0,(INT((Q$3-1-MOD(Q53-1,Inputs!$B$7))/Inputs!$B$7)+1)&lt;=1),J$1,IF(INT((Q53-1)/Inputs!$B$7)&gt;=(INT((Q$3-1-MOD(Q53-1,Inputs!$B$7))/Inputs!$B$7)+1)-1,ROUND(J$2*1440-J$3*60,0)/1440,MAX(J$1,MIN(ROUND(J$2*1440-J$3*60,0)/1440,ROUND((J$1+INT((Q53-1)/Inputs!$B$7)/((INT((Q$3-1-MOD(Q53-1,Inputs!$B$7))/Inputs!$B$7)+1)-1)*((ROUND(J$2*1440-J$3*60,0)/1440)-J$1))*96,0)/96)))))))</f>
        <v>0</v>
      </c>
      <c r="Y53" s="18" t="n">
        <f aca="false">IF(K53=0,0,IF(Inputs!$D70="Open",K$1,IF(Inputs!$D70="Close",ROUND(K$2*1440-K$3*60,0)/1440,IF(OR(INT((R53-1)/Inputs!$B$7)=0,(INT((R$3-1-MOD(R53-1,Inputs!$B$7))/Inputs!$B$7)+1)&lt;=1),K$1,IF(INT((R53-1)/Inputs!$B$7)&gt;=(INT((R$3-1-MOD(R53-1,Inputs!$B$7))/Inputs!$B$7)+1)-1,ROUND(K$2*1440-K$3*60,0)/1440,MAX(K$1,MIN(ROUND(K$2*1440-K$3*60,0)/1440,ROUND((K$1+INT((R53-1)/Inputs!$B$7)/((INT((R$3-1-MOD(R53-1,Inputs!$B$7))/Inputs!$B$7)+1)-1)*((ROUND(K$2*1440-K$3*60,0)/1440)-K$1))*96,0)/96)))))))</f>
        <v>0</v>
      </c>
      <c r="Z53" s="18" t="n">
        <f aca="false">IF(L53=0,0,IF(Inputs!$D70="Open",L$1,IF(Inputs!$D70="Close",ROUND(L$2*1440-L$3*60,0)/1440,IF(OR(INT((S53-1)/Inputs!$B$7)=0,(INT((S$3-1-MOD(S53-1,Inputs!$B$7))/Inputs!$B$7)+1)&lt;=1),L$1,IF(INT((S53-1)/Inputs!$B$7)&gt;=(INT((S$3-1-MOD(S53-1,Inputs!$B$7))/Inputs!$B$7)+1)-1,ROUND(L$2*1440-L$3*60,0)/1440,MAX(L$1,MIN(ROUND(L$2*1440-L$3*60,0)/1440,ROUND((L$1+INT((S53-1)/Inputs!$B$7)/((INT((S$3-1-MOD(S53-1,Inputs!$B$7))/Inputs!$B$7)+1)-1)*((ROUND(L$2*1440-L$3*60,0)/1440)-L$1))*96,0)/96)))))))</f>
        <v>0</v>
      </c>
      <c r="AA53" s="18" t="n">
        <f aca="false">IF(F53=0,0,ROUND(T53*1440+F$3*60,0)/1440)</f>
        <v>0</v>
      </c>
      <c r="AB53" s="18" t="n">
        <f aca="false">IF(G53=0,0,ROUND(U53*1440+G$3*60,0)/1440)</f>
        <v>0</v>
      </c>
      <c r="AC53" s="18" t="n">
        <f aca="false">IF(H53=0,0,ROUND(V53*1440+H$3*60,0)/1440)</f>
        <v>0</v>
      </c>
      <c r="AD53" s="18" t="n">
        <f aca="false">IF(I53=0,0,ROUND(W53*1440+I$3*60,0)/1440)</f>
        <v>0</v>
      </c>
      <c r="AE53" s="18" t="n">
        <f aca="false">IF(J53=0,0,ROUND(X53*1440+J$3*60,0)/1440)</f>
        <v>0</v>
      </c>
      <c r="AF53" s="18" t="n">
        <f aca="false">IF(K53=0,0,ROUND(Y53*1440+K$3*60,0)/1440)</f>
        <v>0</v>
      </c>
      <c r="AG53" s="18" t="n">
        <f aca="false">IF(L53=0,0,ROUND(Z53*1440+L$3*60,0)/1440)</f>
        <v>0</v>
      </c>
      <c r="AH53" s="19" t="n">
        <f aca="false">SUMPRODUCT((MOD(AO$1:AU$1-0,7)&lt;Inputs!$B$6)*AO$2:AU$2*(AO52:AU52+1))*100+MOD(0-5,7)</f>
        <v>1602</v>
      </c>
      <c r="AI53" s="19" t="n">
        <f aca="false">SUMPRODUCT((MOD(AO$1:AU$1-1,7)&lt;Inputs!$B$6)*AO$2:AU$2*(AO52:AU52+1))*100+MOD(1-5,7)</f>
        <v>1403</v>
      </c>
      <c r="AJ53" s="19" t="n">
        <f aca="false">SUMPRODUCT((MOD(AO$1:AU$1-2,7)&lt;Inputs!$B$6)*AO$2:AU$2*(AO52:AU52+1))*100+MOD(2-5,7)</f>
        <v>1404</v>
      </c>
      <c r="AK53" s="19" t="n">
        <f aca="false">SUMPRODUCT((MOD(AO$1:AU$1-3,7)&lt;Inputs!$B$6)*AO$2:AU$2*(AO52:AU52+1))*100+MOD(3-5,7)</f>
        <v>1405</v>
      </c>
      <c r="AL53" s="19" t="n">
        <f aca="false">SUMPRODUCT((MOD(AO$1:AU$1-4,7)&lt;Inputs!$B$6)*AO$2:AU$2*(AO52:AU52+1))*100+MOD(4-5,7)</f>
        <v>1406</v>
      </c>
      <c r="AM53" s="19" t="n">
        <f aca="false">SUMPRODUCT((MOD(AO$1:AU$1-5,7)&lt;Inputs!$B$6)*AO$2:AU$2*(AO52:AU52+1))*100+MOD(5-5,7)</f>
        <v>1800</v>
      </c>
      <c r="AN53" s="19" t="n">
        <f aca="false">SUMPRODUCT((MOD(AO$1:AU$1-6,7)&lt;Inputs!$B$6)*AO$2:AU$2*(AO52:AU52+1))*100+MOD(6-5,7)</f>
        <v>1801</v>
      </c>
      <c r="AO53" s="19" t="n">
        <f aca="false">AO52+IF($B53=1,IF(MOD(0-$D53,7)&lt;Inputs!$B$6,1,0),0)</f>
        <v>3</v>
      </c>
      <c r="AP53" s="19" t="n">
        <f aca="false">AP52+IF($B53=1,IF(MOD(1-$D53,7)&lt;Inputs!$B$6,1,0),0)</f>
        <v>3</v>
      </c>
      <c r="AQ53" s="19" t="n">
        <f aca="false">AQ52+IF($B53=1,IF(MOD(2-$D53,7)&lt;Inputs!$B$6,1,0),0)</f>
        <v>2</v>
      </c>
      <c r="AR53" s="19" t="n">
        <f aca="false">AR52+IF($B53=1,IF(MOD(3-$D53,7)&lt;Inputs!$B$6,1,0),0)</f>
        <v>3</v>
      </c>
      <c r="AS53" s="19" t="n">
        <f aca="false">AS52+IF($B53=1,IF(MOD(4-$D53,7)&lt;Inputs!$B$6,1,0),0)</f>
        <v>2</v>
      </c>
      <c r="AT53" s="19" t="n">
        <f aca="false">AT52+IF($B53=1,IF(MOD(5-$D53,7)&lt;Inputs!$B$6,1,0),0)</f>
        <v>3</v>
      </c>
      <c r="AU53" s="19" t="n">
        <f aca="false">AU52+IF($B53=1,IF(MOD(6-$D53,7)&lt;Inputs!$B$6,1,0),0)</f>
        <v>4</v>
      </c>
    </row>
    <row r="54" customFormat="false" ht="15" hidden="false" customHeight="false" outlineLevel="0" collapsed="false">
      <c r="A54" s="0" t="n">
        <v>49</v>
      </c>
      <c r="B54" s="0" t="n">
        <f aca="false">IF(A54&lt;=Inputs!$B$3,1,0)</f>
        <v>0</v>
      </c>
      <c r="C54" s="0" t="n">
        <f aca="false">MOD(5+MOD(A54-1,7),7)</f>
        <v>4</v>
      </c>
      <c r="D54" s="0" t="n">
        <f aca="false">IF(Inputs!C71&lt;&gt;"",MATCH(Inputs!C71,Inputs!$A$11:$A$17,0)-1,IF(B54=0,0,MATCH(MIN(AH54:AN54),AH54:AN54,0)-1))</f>
        <v>0</v>
      </c>
      <c r="F54" s="0" t="n">
        <f aca="false">IF(OR($B54=0,F$3=0),0,IF(MOD(0-$D54,7)&lt;Inputs!$B$6,0,1))</f>
        <v>0</v>
      </c>
      <c r="G54" s="0" t="n">
        <f aca="false">IF(OR($B54=0,G$3=0),0,IF(MOD(1-$D54,7)&lt;Inputs!$B$6,0,1))</f>
        <v>0</v>
      </c>
      <c r="H54" s="0" t="n">
        <f aca="false">IF(OR($B54=0,H$3=0),0,IF(MOD(2-$D54,7)&lt;Inputs!$B$6,0,1))</f>
        <v>0</v>
      </c>
      <c r="I54" s="0" t="n">
        <f aca="false">IF(OR($B54=0,I$3=0),0,IF(MOD(3-$D54,7)&lt;Inputs!$B$6,0,1))</f>
        <v>0</v>
      </c>
      <c r="J54" s="0" t="n">
        <f aca="false">IF(OR($B54=0,J$3=0),0,IF(MOD(4-$D54,7)&lt;Inputs!$B$6,0,1))</f>
        <v>0</v>
      </c>
      <c r="K54" s="0" t="n">
        <f aca="false">IF(OR($B54=0,K$3=0),0,IF(MOD(5-$D54,7)&lt;Inputs!$B$6,0,1))</f>
        <v>0</v>
      </c>
      <c r="L54" s="0" t="n">
        <f aca="false">IF(OR($B54=0,L$3=0),0,IF(MOD(6-$D54,7)&lt;Inputs!$B$6,0,1))</f>
        <v>0</v>
      </c>
      <c r="M54" s="0" t="n">
        <f aca="false">SUM(F$6:F54)</f>
        <v>7</v>
      </c>
      <c r="N54" s="0" t="n">
        <f aca="false">SUM(G$6:G54)</f>
        <v>7</v>
      </c>
      <c r="O54" s="0" t="n">
        <f aca="false">SUM(H$6:H54)</f>
        <v>8</v>
      </c>
      <c r="P54" s="0" t="n">
        <f aca="false">SUM(I$6:I54)</f>
        <v>7</v>
      </c>
      <c r="Q54" s="0" t="n">
        <f aca="false">SUM(J$6:J54)</f>
        <v>8</v>
      </c>
      <c r="R54" s="0" t="n">
        <f aca="false">SUM(K$6:K54)</f>
        <v>7</v>
      </c>
      <c r="S54" s="0" t="n">
        <f aca="false">SUM(L$6:L54)</f>
        <v>6</v>
      </c>
      <c r="T54" s="18" t="n">
        <f aca="false">IF(F54=0,0,IF(Inputs!$D71="Open",F$1,IF(Inputs!$D71="Close",ROUND(F$2*1440-F$3*60,0)/1440,IF(OR(INT((M54-1)/Inputs!$B$7)=0,(INT((M$3-1-MOD(M54-1,Inputs!$B$7))/Inputs!$B$7)+1)&lt;=1),F$1,IF(INT((M54-1)/Inputs!$B$7)&gt;=(INT((M$3-1-MOD(M54-1,Inputs!$B$7))/Inputs!$B$7)+1)-1,ROUND(F$2*1440-F$3*60,0)/1440,MAX(F$1,MIN(ROUND(F$2*1440-F$3*60,0)/1440,ROUND((F$1+INT((M54-1)/Inputs!$B$7)/((INT((M$3-1-MOD(M54-1,Inputs!$B$7))/Inputs!$B$7)+1)-1)*((ROUND(F$2*1440-F$3*60,0)/1440)-F$1))*96,0)/96)))))))</f>
        <v>0</v>
      </c>
      <c r="U54" s="18" t="n">
        <f aca="false">IF(G54=0,0,IF(Inputs!$D71="Open",G$1,IF(Inputs!$D71="Close",ROUND(G$2*1440-G$3*60,0)/1440,IF(OR(INT((N54-1)/Inputs!$B$7)=0,(INT((N$3-1-MOD(N54-1,Inputs!$B$7))/Inputs!$B$7)+1)&lt;=1),G$1,IF(INT((N54-1)/Inputs!$B$7)&gt;=(INT((N$3-1-MOD(N54-1,Inputs!$B$7))/Inputs!$B$7)+1)-1,ROUND(G$2*1440-G$3*60,0)/1440,MAX(G$1,MIN(ROUND(G$2*1440-G$3*60,0)/1440,ROUND((G$1+INT((N54-1)/Inputs!$B$7)/((INT((N$3-1-MOD(N54-1,Inputs!$B$7))/Inputs!$B$7)+1)-1)*((ROUND(G$2*1440-G$3*60,0)/1440)-G$1))*96,0)/96)))))))</f>
        <v>0</v>
      </c>
      <c r="V54" s="18" t="n">
        <f aca="false">IF(H54=0,0,IF(Inputs!$D71="Open",H$1,IF(Inputs!$D71="Close",ROUND(H$2*1440-H$3*60,0)/1440,IF(OR(INT((O54-1)/Inputs!$B$7)=0,(INT((O$3-1-MOD(O54-1,Inputs!$B$7))/Inputs!$B$7)+1)&lt;=1),H$1,IF(INT((O54-1)/Inputs!$B$7)&gt;=(INT((O$3-1-MOD(O54-1,Inputs!$B$7))/Inputs!$B$7)+1)-1,ROUND(H$2*1440-H$3*60,0)/1440,MAX(H$1,MIN(ROUND(H$2*1440-H$3*60,0)/1440,ROUND((H$1+INT((O54-1)/Inputs!$B$7)/((INT((O$3-1-MOD(O54-1,Inputs!$B$7))/Inputs!$B$7)+1)-1)*((ROUND(H$2*1440-H$3*60,0)/1440)-H$1))*96,0)/96)))))))</f>
        <v>0</v>
      </c>
      <c r="W54" s="18" t="n">
        <f aca="false">IF(I54=0,0,IF(Inputs!$D71="Open",I$1,IF(Inputs!$D71="Close",ROUND(I$2*1440-I$3*60,0)/1440,IF(OR(INT((P54-1)/Inputs!$B$7)=0,(INT((P$3-1-MOD(P54-1,Inputs!$B$7))/Inputs!$B$7)+1)&lt;=1),I$1,IF(INT((P54-1)/Inputs!$B$7)&gt;=(INT((P$3-1-MOD(P54-1,Inputs!$B$7))/Inputs!$B$7)+1)-1,ROUND(I$2*1440-I$3*60,0)/1440,MAX(I$1,MIN(ROUND(I$2*1440-I$3*60,0)/1440,ROUND((I$1+INT((P54-1)/Inputs!$B$7)/((INT((P$3-1-MOD(P54-1,Inputs!$B$7))/Inputs!$B$7)+1)-1)*((ROUND(I$2*1440-I$3*60,0)/1440)-I$1))*96,0)/96)))))))</f>
        <v>0</v>
      </c>
      <c r="X54" s="18" t="n">
        <f aca="false">IF(J54=0,0,IF(Inputs!$D71="Open",J$1,IF(Inputs!$D71="Close",ROUND(J$2*1440-J$3*60,0)/1440,IF(OR(INT((Q54-1)/Inputs!$B$7)=0,(INT((Q$3-1-MOD(Q54-1,Inputs!$B$7))/Inputs!$B$7)+1)&lt;=1),J$1,IF(INT((Q54-1)/Inputs!$B$7)&gt;=(INT((Q$3-1-MOD(Q54-1,Inputs!$B$7))/Inputs!$B$7)+1)-1,ROUND(J$2*1440-J$3*60,0)/1440,MAX(J$1,MIN(ROUND(J$2*1440-J$3*60,0)/1440,ROUND((J$1+INT((Q54-1)/Inputs!$B$7)/((INT((Q$3-1-MOD(Q54-1,Inputs!$B$7))/Inputs!$B$7)+1)-1)*((ROUND(J$2*1440-J$3*60,0)/1440)-J$1))*96,0)/96)))))))</f>
        <v>0</v>
      </c>
      <c r="Y54" s="18" t="n">
        <f aca="false">IF(K54=0,0,IF(Inputs!$D71="Open",K$1,IF(Inputs!$D71="Close",ROUND(K$2*1440-K$3*60,0)/1440,IF(OR(INT((R54-1)/Inputs!$B$7)=0,(INT((R$3-1-MOD(R54-1,Inputs!$B$7))/Inputs!$B$7)+1)&lt;=1),K$1,IF(INT((R54-1)/Inputs!$B$7)&gt;=(INT((R$3-1-MOD(R54-1,Inputs!$B$7))/Inputs!$B$7)+1)-1,ROUND(K$2*1440-K$3*60,0)/1440,MAX(K$1,MIN(ROUND(K$2*1440-K$3*60,0)/1440,ROUND((K$1+INT((R54-1)/Inputs!$B$7)/((INT((R$3-1-MOD(R54-1,Inputs!$B$7))/Inputs!$B$7)+1)-1)*((ROUND(K$2*1440-K$3*60,0)/1440)-K$1))*96,0)/96)))))))</f>
        <v>0</v>
      </c>
      <c r="Z54" s="18" t="n">
        <f aca="false">IF(L54=0,0,IF(Inputs!$D71="Open",L$1,IF(Inputs!$D71="Close",ROUND(L$2*1440-L$3*60,0)/1440,IF(OR(INT((S54-1)/Inputs!$B$7)=0,(INT((S$3-1-MOD(S54-1,Inputs!$B$7))/Inputs!$B$7)+1)&lt;=1),L$1,IF(INT((S54-1)/Inputs!$B$7)&gt;=(INT((S$3-1-MOD(S54-1,Inputs!$B$7))/Inputs!$B$7)+1)-1,ROUND(L$2*1440-L$3*60,0)/1440,MAX(L$1,MIN(ROUND(L$2*1440-L$3*60,0)/1440,ROUND((L$1+INT((S54-1)/Inputs!$B$7)/((INT((S$3-1-MOD(S54-1,Inputs!$B$7))/Inputs!$B$7)+1)-1)*((ROUND(L$2*1440-L$3*60,0)/1440)-L$1))*96,0)/96)))))))</f>
        <v>0</v>
      </c>
      <c r="AA54" s="18" t="n">
        <f aca="false">IF(F54=0,0,ROUND(T54*1440+F$3*60,0)/1440)</f>
        <v>0</v>
      </c>
      <c r="AB54" s="18" t="n">
        <f aca="false">IF(G54=0,0,ROUND(U54*1440+G$3*60,0)/1440)</f>
        <v>0</v>
      </c>
      <c r="AC54" s="18" t="n">
        <f aca="false">IF(H54=0,0,ROUND(V54*1440+H$3*60,0)/1440)</f>
        <v>0</v>
      </c>
      <c r="AD54" s="18" t="n">
        <f aca="false">IF(I54=0,0,ROUND(W54*1440+I$3*60,0)/1440)</f>
        <v>0</v>
      </c>
      <c r="AE54" s="18" t="n">
        <f aca="false">IF(J54=0,0,ROUND(X54*1440+J$3*60,0)/1440)</f>
        <v>0</v>
      </c>
      <c r="AF54" s="18" t="n">
        <f aca="false">IF(K54=0,0,ROUND(Y54*1440+K$3*60,0)/1440)</f>
        <v>0</v>
      </c>
      <c r="AG54" s="18" t="n">
        <f aca="false">IF(L54=0,0,ROUND(Z54*1440+L$3*60,0)/1440)</f>
        <v>0</v>
      </c>
      <c r="AH54" s="19" t="n">
        <f aca="false">SUMPRODUCT((MOD(AO$1:AU$1-0,7)&lt;Inputs!$B$6)*AO$2:AU$2*(AO53:AU53+1))*100+MOD(0-5,7)</f>
        <v>1602</v>
      </c>
      <c r="AI54" s="19" t="n">
        <f aca="false">SUMPRODUCT((MOD(AO$1:AU$1-1,7)&lt;Inputs!$B$6)*AO$2:AU$2*(AO53:AU53+1))*100+MOD(1-5,7)</f>
        <v>1403</v>
      </c>
      <c r="AJ54" s="19" t="n">
        <f aca="false">SUMPRODUCT((MOD(AO$1:AU$1-2,7)&lt;Inputs!$B$6)*AO$2:AU$2*(AO53:AU53+1))*100+MOD(2-5,7)</f>
        <v>1404</v>
      </c>
      <c r="AK54" s="19" t="n">
        <f aca="false">SUMPRODUCT((MOD(AO$1:AU$1-3,7)&lt;Inputs!$B$6)*AO$2:AU$2*(AO53:AU53+1))*100+MOD(3-5,7)</f>
        <v>1405</v>
      </c>
      <c r="AL54" s="19" t="n">
        <f aca="false">SUMPRODUCT((MOD(AO$1:AU$1-4,7)&lt;Inputs!$B$6)*AO$2:AU$2*(AO53:AU53+1))*100+MOD(4-5,7)</f>
        <v>1406</v>
      </c>
      <c r="AM54" s="19" t="n">
        <f aca="false">SUMPRODUCT((MOD(AO$1:AU$1-5,7)&lt;Inputs!$B$6)*AO$2:AU$2*(AO53:AU53+1))*100+MOD(5-5,7)</f>
        <v>1800</v>
      </c>
      <c r="AN54" s="19" t="n">
        <f aca="false">SUMPRODUCT((MOD(AO$1:AU$1-6,7)&lt;Inputs!$B$6)*AO$2:AU$2*(AO53:AU53+1))*100+MOD(6-5,7)</f>
        <v>1801</v>
      </c>
      <c r="AO54" s="19" t="n">
        <f aca="false">AO53+IF($B54=1,IF(MOD(0-$D54,7)&lt;Inputs!$B$6,1,0),0)</f>
        <v>3</v>
      </c>
      <c r="AP54" s="19" t="n">
        <f aca="false">AP53+IF($B54=1,IF(MOD(1-$D54,7)&lt;Inputs!$B$6,1,0),0)</f>
        <v>3</v>
      </c>
      <c r="AQ54" s="19" t="n">
        <f aca="false">AQ53+IF($B54=1,IF(MOD(2-$D54,7)&lt;Inputs!$B$6,1,0),0)</f>
        <v>2</v>
      </c>
      <c r="AR54" s="19" t="n">
        <f aca="false">AR53+IF($B54=1,IF(MOD(3-$D54,7)&lt;Inputs!$B$6,1,0),0)</f>
        <v>3</v>
      </c>
      <c r="AS54" s="19" t="n">
        <f aca="false">AS53+IF($B54=1,IF(MOD(4-$D54,7)&lt;Inputs!$B$6,1,0),0)</f>
        <v>2</v>
      </c>
      <c r="AT54" s="19" t="n">
        <f aca="false">AT53+IF($B54=1,IF(MOD(5-$D54,7)&lt;Inputs!$B$6,1,0),0)</f>
        <v>3</v>
      </c>
      <c r="AU54" s="19" t="n">
        <f aca="false">AU53+IF($B54=1,IF(MOD(6-$D54,7)&lt;Inputs!$B$6,1,0),0)</f>
        <v>4</v>
      </c>
    </row>
    <row r="55" customFormat="false" ht="15" hidden="false" customHeight="false" outlineLevel="0" collapsed="false">
      <c r="A55" s="0" t="n">
        <v>50</v>
      </c>
      <c r="B55" s="0" t="n">
        <f aca="false">IF(A55&lt;=Inputs!$B$3,1,0)</f>
        <v>0</v>
      </c>
      <c r="C55" s="0" t="n">
        <f aca="false">MOD(5+MOD(A55-1,7),7)</f>
        <v>5</v>
      </c>
      <c r="D55" s="0" t="n">
        <f aca="false">IF(Inputs!C72&lt;&gt;"",MATCH(Inputs!C72,Inputs!$A$11:$A$17,0)-1,IF(B55=0,0,MATCH(MIN(AH55:AN55),AH55:AN55,0)-1))</f>
        <v>0</v>
      </c>
      <c r="F55" s="0" t="n">
        <f aca="false">IF(OR($B55=0,F$3=0),0,IF(MOD(0-$D55,7)&lt;Inputs!$B$6,0,1))</f>
        <v>0</v>
      </c>
      <c r="G55" s="0" t="n">
        <f aca="false">IF(OR($B55=0,G$3=0),0,IF(MOD(1-$D55,7)&lt;Inputs!$B$6,0,1))</f>
        <v>0</v>
      </c>
      <c r="H55" s="0" t="n">
        <f aca="false">IF(OR($B55=0,H$3=0),0,IF(MOD(2-$D55,7)&lt;Inputs!$B$6,0,1))</f>
        <v>0</v>
      </c>
      <c r="I55" s="0" t="n">
        <f aca="false">IF(OR($B55=0,I$3=0),0,IF(MOD(3-$D55,7)&lt;Inputs!$B$6,0,1))</f>
        <v>0</v>
      </c>
      <c r="J55" s="0" t="n">
        <f aca="false">IF(OR($B55=0,J$3=0),0,IF(MOD(4-$D55,7)&lt;Inputs!$B$6,0,1))</f>
        <v>0</v>
      </c>
      <c r="K55" s="0" t="n">
        <f aca="false">IF(OR($B55=0,K$3=0),0,IF(MOD(5-$D55,7)&lt;Inputs!$B$6,0,1))</f>
        <v>0</v>
      </c>
      <c r="L55" s="0" t="n">
        <f aca="false">IF(OR($B55=0,L$3=0),0,IF(MOD(6-$D55,7)&lt;Inputs!$B$6,0,1))</f>
        <v>0</v>
      </c>
      <c r="M55" s="0" t="n">
        <f aca="false">SUM(F$6:F55)</f>
        <v>7</v>
      </c>
      <c r="N55" s="0" t="n">
        <f aca="false">SUM(G$6:G55)</f>
        <v>7</v>
      </c>
      <c r="O55" s="0" t="n">
        <f aca="false">SUM(H$6:H55)</f>
        <v>8</v>
      </c>
      <c r="P55" s="0" t="n">
        <f aca="false">SUM(I$6:I55)</f>
        <v>7</v>
      </c>
      <c r="Q55" s="0" t="n">
        <f aca="false">SUM(J$6:J55)</f>
        <v>8</v>
      </c>
      <c r="R55" s="0" t="n">
        <f aca="false">SUM(K$6:K55)</f>
        <v>7</v>
      </c>
      <c r="S55" s="0" t="n">
        <f aca="false">SUM(L$6:L55)</f>
        <v>6</v>
      </c>
      <c r="T55" s="18" t="n">
        <f aca="false">IF(F55=0,0,IF(Inputs!$D72="Open",F$1,IF(Inputs!$D72="Close",ROUND(F$2*1440-F$3*60,0)/1440,IF(OR(INT((M55-1)/Inputs!$B$7)=0,(INT((M$3-1-MOD(M55-1,Inputs!$B$7))/Inputs!$B$7)+1)&lt;=1),F$1,IF(INT((M55-1)/Inputs!$B$7)&gt;=(INT((M$3-1-MOD(M55-1,Inputs!$B$7))/Inputs!$B$7)+1)-1,ROUND(F$2*1440-F$3*60,0)/1440,MAX(F$1,MIN(ROUND(F$2*1440-F$3*60,0)/1440,ROUND((F$1+INT((M55-1)/Inputs!$B$7)/((INT((M$3-1-MOD(M55-1,Inputs!$B$7))/Inputs!$B$7)+1)-1)*((ROUND(F$2*1440-F$3*60,0)/1440)-F$1))*96,0)/96)))))))</f>
        <v>0</v>
      </c>
      <c r="U55" s="18" t="n">
        <f aca="false">IF(G55=0,0,IF(Inputs!$D72="Open",G$1,IF(Inputs!$D72="Close",ROUND(G$2*1440-G$3*60,0)/1440,IF(OR(INT((N55-1)/Inputs!$B$7)=0,(INT((N$3-1-MOD(N55-1,Inputs!$B$7))/Inputs!$B$7)+1)&lt;=1),G$1,IF(INT((N55-1)/Inputs!$B$7)&gt;=(INT((N$3-1-MOD(N55-1,Inputs!$B$7))/Inputs!$B$7)+1)-1,ROUND(G$2*1440-G$3*60,0)/1440,MAX(G$1,MIN(ROUND(G$2*1440-G$3*60,0)/1440,ROUND((G$1+INT((N55-1)/Inputs!$B$7)/((INT((N$3-1-MOD(N55-1,Inputs!$B$7))/Inputs!$B$7)+1)-1)*((ROUND(G$2*1440-G$3*60,0)/1440)-G$1))*96,0)/96)))))))</f>
        <v>0</v>
      </c>
      <c r="V55" s="18" t="n">
        <f aca="false">IF(H55=0,0,IF(Inputs!$D72="Open",H$1,IF(Inputs!$D72="Close",ROUND(H$2*1440-H$3*60,0)/1440,IF(OR(INT((O55-1)/Inputs!$B$7)=0,(INT((O$3-1-MOD(O55-1,Inputs!$B$7))/Inputs!$B$7)+1)&lt;=1),H$1,IF(INT((O55-1)/Inputs!$B$7)&gt;=(INT((O$3-1-MOD(O55-1,Inputs!$B$7))/Inputs!$B$7)+1)-1,ROUND(H$2*1440-H$3*60,0)/1440,MAX(H$1,MIN(ROUND(H$2*1440-H$3*60,0)/1440,ROUND((H$1+INT((O55-1)/Inputs!$B$7)/((INT((O$3-1-MOD(O55-1,Inputs!$B$7))/Inputs!$B$7)+1)-1)*((ROUND(H$2*1440-H$3*60,0)/1440)-H$1))*96,0)/96)))))))</f>
        <v>0</v>
      </c>
      <c r="W55" s="18" t="n">
        <f aca="false">IF(I55=0,0,IF(Inputs!$D72="Open",I$1,IF(Inputs!$D72="Close",ROUND(I$2*1440-I$3*60,0)/1440,IF(OR(INT((P55-1)/Inputs!$B$7)=0,(INT((P$3-1-MOD(P55-1,Inputs!$B$7))/Inputs!$B$7)+1)&lt;=1),I$1,IF(INT((P55-1)/Inputs!$B$7)&gt;=(INT((P$3-1-MOD(P55-1,Inputs!$B$7))/Inputs!$B$7)+1)-1,ROUND(I$2*1440-I$3*60,0)/1440,MAX(I$1,MIN(ROUND(I$2*1440-I$3*60,0)/1440,ROUND((I$1+INT((P55-1)/Inputs!$B$7)/((INT((P$3-1-MOD(P55-1,Inputs!$B$7))/Inputs!$B$7)+1)-1)*((ROUND(I$2*1440-I$3*60,0)/1440)-I$1))*96,0)/96)))))))</f>
        <v>0</v>
      </c>
      <c r="X55" s="18" t="n">
        <f aca="false">IF(J55=0,0,IF(Inputs!$D72="Open",J$1,IF(Inputs!$D72="Close",ROUND(J$2*1440-J$3*60,0)/1440,IF(OR(INT((Q55-1)/Inputs!$B$7)=0,(INT((Q$3-1-MOD(Q55-1,Inputs!$B$7))/Inputs!$B$7)+1)&lt;=1),J$1,IF(INT((Q55-1)/Inputs!$B$7)&gt;=(INT((Q$3-1-MOD(Q55-1,Inputs!$B$7))/Inputs!$B$7)+1)-1,ROUND(J$2*1440-J$3*60,0)/1440,MAX(J$1,MIN(ROUND(J$2*1440-J$3*60,0)/1440,ROUND((J$1+INT((Q55-1)/Inputs!$B$7)/((INT((Q$3-1-MOD(Q55-1,Inputs!$B$7))/Inputs!$B$7)+1)-1)*((ROUND(J$2*1440-J$3*60,0)/1440)-J$1))*96,0)/96)))))))</f>
        <v>0</v>
      </c>
      <c r="Y55" s="18" t="n">
        <f aca="false">IF(K55=0,0,IF(Inputs!$D72="Open",K$1,IF(Inputs!$D72="Close",ROUND(K$2*1440-K$3*60,0)/1440,IF(OR(INT((R55-1)/Inputs!$B$7)=0,(INT((R$3-1-MOD(R55-1,Inputs!$B$7))/Inputs!$B$7)+1)&lt;=1),K$1,IF(INT((R55-1)/Inputs!$B$7)&gt;=(INT((R$3-1-MOD(R55-1,Inputs!$B$7))/Inputs!$B$7)+1)-1,ROUND(K$2*1440-K$3*60,0)/1440,MAX(K$1,MIN(ROUND(K$2*1440-K$3*60,0)/1440,ROUND((K$1+INT((R55-1)/Inputs!$B$7)/((INT((R$3-1-MOD(R55-1,Inputs!$B$7))/Inputs!$B$7)+1)-1)*((ROUND(K$2*1440-K$3*60,0)/1440)-K$1))*96,0)/96)))))))</f>
        <v>0</v>
      </c>
      <c r="Z55" s="18" t="n">
        <f aca="false">IF(L55=0,0,IF(Inputs!$D72="Open",L$1,IF(Inputs!$D72="Close",ROUND(L$2*1440-L$3*60,0)/1440,IF(OR(INT((S55-1)/Inputs!$B$7)=0,(INT((S$3-1-MOD(S55-1,Inputs!$B$7))/Inputs!$B$7)+1)&lt;=1),L$1,IF(INT((S55-1)/Inputs!$B$7)&gt;=(INT((S$3-1-MOD(S55-1,Inputs!$B$7))/Inputs!$B$7)+1)-1,ROUND(L$2*1440-L$3*60,0)/1440,MAX(L$1,MIN(ROUND(L$2*1440-L$3*60,0)/1440,ROUND((L$1+INT((S55-1)/Inputs!$B$7)/((INT((S$3-1-MOD(S55-1,Inputs!$B$7))/Inputs!$B$7)+1)-1)*((ROUND(L$2*1440-L$3*60,0)/1440)-L$1))*96,0)/96)))))))</f>
        <v>0</v>
      </c>
      <c r="AA55" s="18" t="n">
        <f aca="false">IF(F55=0,0,ROUND(T55*1440+F$3*60,0)/1440)</f>
        <v>0</v>
      </c>
      <c r="AB55" s="18" t="n">
        <f aca="false">IF(G55=0,0,ROUND(U55*1440+G$3*60,0)/1440)</f>
        <v>0</v>
      </c>
      <c r="AC55" s="18" t="n">
        <f aca="false">IF(H55=0,0,ROUND(V55*1440+H$3*60,0)/1440)</f>
        <v>0</v>
      </c>
      <c r="AD55" s="18" t="n">
        <f aca="false">IF(I55=0,0,ROUND(W55*1440+I$3*60,0)/1440)</f>
        <v>0</v>
      </c>
      <c r="AE55" s="18" t="n">
        <f aca="false">IF(J55=0,0,ROUND(X55*1440+J$3*60,0)/1440)</f>
        <v>0</v>
      </c>
      <c r="AF55" s="18" t="n">
        <f aca="false">IF(K55=0,0,ROUND(Y55*1440+K$3*60,0)/1440)</f>
        <v>0</v>
      </c>
      <c r="AG55" s="18" t="n">
        <f aca="false">IF(L55=0,0,ROUND(Z55*1440+L$3*60,0)/1440)</f>
        <v>0</v>
      </c>
      <c r="AH55" s="19" t="n">
        <f aca="false">SUMPRODUCT((MOD(AO$1:AU$1-0,7)&lt;Inputs!$B$6)*AO$2:AU$2*(AO54:AU54+1))*100+MOD(0-5,7)</f>
        <v>1602</v>
      </c>
      <c r="AI55" s="19" t="n">
        <f aca="false">SUMPRODUCT((MOD(AO$1:AU$1-1,7)&lt;Inputs!$B$6)*AO$2:AU$2*(AO54:AU54+1))*100+MOD(1-5,7)</f>
        <v>1403</v>
      </c>
      <c r="AJ55" s="19" t="n">
        <f aca="false">SUMPRODUCT((MOD(AO$1:AU$1-2,7)&lt;Inputs!$B$6)*AO$2:AU$2*(AO54:AU54+1))*100+MOD(2-5,7)</f>
        <v>1404</v>
      </c>
      <c r="AK55" s="19" t="n">
        <f aca="false">SUMPRODUCT((MOD(AO$1:AU$1-3,7)&lt;Inputs!$B$6)*AO$2:AU$2*(AO54:AU54+1))*100+MOD(3-5,7)</f>
        <v>1405</v>
      </c>
      <c r="AL55" s="19" t="n">
        <f aca="false">SUMPRODUCT((MOD(AO$1:AU$1-4,7)&lt;Inputs!$B$6)*AO$2:AU$2*(AO54:AU54+1))*100+MOD(4-5,7)</f>
        <v>1406</v>
      </c>
      <c r="AM55" s="19" t="n">
        <f aca="false">SUMPRODUCT((MOD(AO$1:AU$1-5,7)&lt;Inputs!$B$6)*AO$2:AU$2*(AO54:AU54+1))*100+MOD(5-5,7)</f>
        <v>1800</v>
      </c>
      <c r="AN55" s="19" t="n">
        <f aca="false">SUMPRODUCT((MOD(AO$1:AU$1-6,7)&lt;Inputs!$B$6)*AO$2:AU$2*(AO54:AU54+1))*100+MOD(6-5,7)</f>
        <v>1801</v>
      </c>
      <c r="AO55" s="19" t="n">
        <f aca="false">AO54+IF($B55=1,IF(MOD(0-$D55,7)&lt;Inputs!$B$6,1,0),0)</f>
        <v>3</v>
      </c>
      <c r="AP55" s="19" t="n">
        <f aca="false">AP54+IF($B55=1,IF(MOD(1-$D55,7)&lt;Inputs!$B$6,1,0),0)</f>
        <v>3</v>
      </c>
      <c r="AQ55" s="19" t="n">
        <f aca="false">AQ54+IF($B55=1,IF(MOD(2-$D55,7)&lt;Inputs!$B$6,1,0),0)</f>
        <v>2</v>
      </c>
      <c r="AR55" s="19" t="n">
        <f aca="false">AR54+IF($B55=1,IF(MOD(3-$D55,7)&lt;Inputs!$B$6,1,0),0)</f>
        <v>3</v>
      </c>
      <c r="AS55" s="19" t="n">
        <f aca="false">AS54+IF($B55=1,IF(MOD(4-$D55,7)&lt;Inputs!$B$6,1,0),0)</f>
        <v>2</v>
      </c>
      <c r="AT55" s="19" t="n">
        <f aca="false">AT54+IF($B55=1,IF(MOD(5-$D55,7)&lt;Inputs!$B$6,1,0),0)</f>
        <v>3</v>
      </c>
      <c r="AU55" s="19" t="n">
        <f aca="false">AU54+IF($B55=1,IF(MOD(6-$D55,7)&lt;Inputs!$B$6,1,0),0)</f>
        <v>4</v>
      </c>
    </row>
    <row r="56" customFormat="false" ht="15" hidden="false" customHeight="false" outlineLevel="0" collapsed="false">
      <c r="A56" s="0" t="n">
        <v>51</v>
      </c>
      <c r="B56" s="0" t="n">
        <f aca="false">IF(A56&lt;=Inputs!$B$3,1,0)</f>
        <v>0</v>
      </c>
      <c r="C56" s="0" t="n">
        <f aca="false">MOD(5+MOD(A56-1,7),7)</f>
        <v>6</v>
      </c>
      <c r="D56" s="0" t="n">
        <f aca="false">IF(Inputs!C73&lt;&gt;"",MATCH(Inputs!C73,Inputs!$A$11:$A$17,0)-1,IF(B56=0,0,MATCH(MIN(AH56:AN56),AH56:AN56,0)-1))</f>
        <v>0</v>
      </c>
      <c r="F56" s="0" t="n">
        <f aca="false">IF(OR($B56=0,F$3=0),0,IF(MOD(0-$D56,7)&lt;Inputs!$B$6,0,1))</f>
        <v>0</v>
      </c>
      <c r="G56" s="0" t="n">
        <f aca="false">IF(OR($B56=0,G$3=0),0,IF(MOD(1-$D56,7)&lt;Inputs!$B$6,0,1))</f>
        <v>0</v>
      </c>
      <c r="H56" s="0" t="n">
        <f aca="false">IF(OR($B56=0,H$3=0),0,IF(MOD(2-$D56,7)&lt;Inputs!$B$6,0,1))</f>
        <v>0</v>
      </c>
      <c r="I56" s="0" t="n">
        <f aca="false">IF(OR($B56=0,I$3=0),0,IF(MOD(3-$D56,7)&lt;Inputs!$B$6,0,1))</f>
        <v>0</v>
      </c>
      <c r="J56" s="0" t="n">
        <f aca="false">IF(OR($B56=0,J$3=0),0,IF(MOD(4-$D56,7)&lt;Inputs!$B$6,0,1))</f>
        <v>0</v>
      </c>
      <c r="K56" s="0" t="n">
        <f aca="false">IF(OR($B56=0,K$3=0),0,IF(MOD(5-$D56,7)&lt;Inputs!$B$6,0,1))</f>
        <v>0</v>
      </c>
      <c r="L56" s="0" t="n">
        <f aca="false">IF(OR($B56=0,L$3=0),0,IF(MOD(6-$D56,7)&lt;Inputs!$B$6,0,1))</f>
        <v>0</v>
      </c>
      <c r="M56" s="0" t="n">
        <f aca="false">SUM(F$6:F56)</f>
        <v>7</v>
      </c>
      <c r="N56" s="0" t="n">
        <f aca="false">SUM(G$6:G56)</f>
        <v>7</v>
      </c>
      <c r="O56" s="0" t="n">
        <f aca="false">SUM(H$6:H56)</f>
        <v>8</v>
      </c>
      <c r="P56" s="0" t="n">
        <f aca="false">SUM(I$6:I56)</f>
        <v>7</v>
      </c>
      <c r="Q56" s="0" t="n">
        <f aca="false">SUM(J$6:J56)</f>
        <v>8</v>
      </c>
      <c r="R56" s="0" t="n">
        <f aca="false">SUM(K$6:K56)</f>
        <v>7</v>
      </c>
      <c r="S56" s="0" t="n">
        <f aca="false">SUM(L$6:L56)</f>
        <v>6</v>
      </c>
      <c r="T56" s="18" t="n">
        <f aca="false">IF(F56=0,0,IF(Inputs!$D73="Open",F$1,IF(Inputs!$D73="Close",ROUND(F$2*1440-F$3*60,0)/1440,IF(OR(INT((M56-1)/Inputs!$B$7)=0,(INT((M$3-1-MOD(M56-1,Inputs!$B$7))/Inputs!$B$7)+1)&lt;=1),F$1,IF(INT((M56-1)/Inputs!$B$7)&gt;=(INT((M$3-1-MOD(M56-1,Inputs!$B$7))/Inputs!$B$7)+1)-1,ROUND(F$2*1440-F$3*60,0)/1440,MAX(F$1,MIN(ROUND(F$2*1440-F$3*60,0)/1440,ROUND((F$1+INT((M56-1)/Inputs!$B$7)/((INT((M$3-1-MOD(M56-1,Inputs!$B$7))/Inputs!$B$7)+1)-1)*((ROUND(F$2*1440-F$3*60,0)/1440)-F$1))*96,0)/96)))))))</f>
        <v>0</v>
      </c>
      <c r="U56" s="18" t="n">
        <f aca="false">IF(G56=0,0,IF(Inputs!$D73="Open",G$1,IF(Inputs!$D73="Close",ROUND(G$2*1440-G$3*60,0)/1440,IF(OR(INT((N56-1)/Inputs!$B$7)=0,(INT((N$3-1-MOD(N56-1,Inputs!$B$7))/Inputs!$B$7)+1)&lt;=1),G$1,IF(INT((N56-1)/Inputs!$B$7)&gt;=(INT((N$3-1-MOD(N56-1,Inputs!$B$7))/Inputs!$B$7)+1)-1,ROUND(G$2*1440-G$3*60,0)/1440,MAX(G$1,MIN(ROUND(G$2*1440-G$3*60,0)/1440,ROUND((G$1+INT((N56-1)/Inputs!$B$7)/((INT((N$3-1-MOD(N56-1,Inputs!$B$7))/Inputs!$B$7)+1)-1)*((ROUND(G$2*1440-G$3*60,0)/1440)-G$1))*96,0)/96)))))))</f>
        <v>0</v>
      </c>
      <c r="V56" s="18" t="n">
        <f aca="false">IF(H56=0,0,IF(Inputs!$D73="Open",H$1,IF(Inputs!$D73="Close",ROUND(H$2*1440-H$3*60,0)/1440,IF(OR(INT((O56-1)/Inputs!$B$7)=0,(INT((O$3-1-MOD(O56-1,Inputs!$B$7))/Inputs!$B$7)+1)&lt;=1),H$1,IF(INT((O56-1)/Inputs!$B$7)&gt;=(INT((O$3-1-MOD(O56-1,Inputs!$B$7))/Inputs!$B$7)+1)-1,ROUND(H$2*1440-H$3*60,0)/1440,MAX(H$1,MIN(ROUND(H$2*1440-H$3*60,0)/1440,ROUND((H$1+INT((O56-1)/Inputs!$B$7)/((INT((O$3-1-MOD(O56-1,Inputs!$B$7))/Inputs!$B$7)+1)-1)*((ROUND(H$2*1440-H$3*60,0)/1440)-H$1))*96,0)/96)))))))</f>
        <v>0</v>
      </c>
      <c r="W56" s="18" t="n">
        <f aca="false">IF(I56=0,0,IF(Inputs!$D73="Open",I$1,IF(Inputs!$D73="Close",ROUND(I$2*1440-I$3*60,0)/1440,IF(OR(INT((P56-1)/Inputs!$B$7)=0,(INT((P$3-1-MOD(P56-1,Inputs!$B$7))/Inputs!$B$7)+1)&lt;=1),I$1,IF(INT((P56-1)/Inputs!$B$7)&gt;=(INT((P$3-1-MOD(P56-1,Inputs!$B$7))/Inputs!$B$7)+1)-1,ROUND(I$2*1440-I$3*60,0)/1440,MAX(I$1,MIN(ROUND(I$2*1440-I$3*60,0)/1440,ROUND((I$1+INT((P56-1)/Inputs!$B$7)/((INT((P$3-1-MOD(P56-1,Inputs!$B$7))/Inputs!$B$7)+1)-1)*((ROUND(I$2*1440-I$3*60,0)/1440)-I$1))*96,0)/96)))))))</f>
        <v>0</v>
      </c>
      <c r="X56" s="18" t="n">
        <f aca="false">IF(J56=0,0,IF(Inputs!$D73="Open",J$1,IF(Inputs!$D73="Close",ROUND(J$2*1440-J$3*60,0)/1440,IF(OR(INT((Q56-1)/Inputs!$B$7)=0,(INT((Q$3-1-MOD(Q56-1,Inputs!$B$7))/Inputs!$B$7)+1)&lt;=1),J$1,IF(INT((Q56-1)/Inputs!$B$7)&gt;=(INT((Q$3-1-MOD(Q56-1,Inputs!$B$7))/Inputs!$B$7)+1)-1,ROUND(J$2*1440-J$3*60,0)/1440,MAX(J$1,MIN(ROUND(J$2*1440-J$3*60,0)/1440,ROUND((J$1+INT((Q56-1)/Inputs!$B$7)/((INT((Q$3-1-MOD(Q56-1,Inputs!$B$7))/Inputs!$B$7)+1)-1)*((ROUND(J$2*1440-J$3*60,0)/1440)-J$1))*96,0)/96)))))))</f>
        <v>0</v>
      </c>
      <c r="Y56" s="18" t="n">
        <f aca="false">IF(K56=0,0,IF(Inputs!$D73="Open",K$1,IF(Inputs!$D73="Close",ROUND(K$2*1440-K$3*60,0)/1440,IF(OR(INT((R56-1)/Inputs!$B$7)=0,(INT((R$3-1-MOD(R56-1,Inputs!$B$7))/Inputs!$B$7)+1)&lt;=1),K$1,IF(INT((R56-1)/Inputs!$B$7)&gt;=(INT((R$3-1-MOD(R56-1,Inputs!$B$7))/Inputs!$B$7)+1)-1,ROUND(K$2*1440-K$3*60,0)/1440,MAX(K$1,MIN(ROUND(K$2*1440-K$3*60,0)/1440,ROUND((K$1+INT((R56-1)/Inputs!$B$7)/((INT((R$3-1-MOD(R56-1,Inputs!$B$7))/Inputs!$B$7)+1)-1)*((ROUND(K$2*1440-K$3*60,0)/1440)-K$1))*96,0)/96)))))))</f>
        <v>0</v>
      </c>
      <c r="Z56" s="18" t="n">
        <f aca="false">IF(L56=0,0,IF(Inputs!$D73="Open",L$1,IF(Inputs!$D73="Close",ROUND(L$2*1440-L$3*60,0)/1440,IF(OR(INT((S56-1)/Inputs!$B$7)=0,(INT((S$3-1-MOD(S56-1,Inputs!$B$7))/Inputs!$B$7)+1)&lt;=1),L$1,IF(INT((S56-1)/Inputs!$B$7)&gt;=(INT((S$3-1-MOD(S56-1,Inputs!$B$7))/Inputs!$B$7)+1)-1,ROUND(L$2*1440-L$3*60,0)/1440,MAX(L$1,MIN(ROUND(L$2*1440-L$3*60,0)/1440,ROUND((L$1+INT((S56-1)/Inputs!$B$7)/((INT((S$3-1-MOD(S56-1,Inputs!$B$7))/Inputs!$B$7)+1)-1)*((ROUND(L$2*1440-L$3*60,0)/1440)-L$1))*96,0)/96)))))))</f>
        <v>0</v>
      </c>
      <c r="AA56" s="18" t="n">
        <f aca="false">IF(F56=0,0,ROUND(T56*1440+F$3*60,0)/1440)</f>
        <v>0</v>
      </c>
      <c r="AB56" s="18" t="n">
        <f aca="false">IF(G56=0,0,ROUND(U56*1440+G$3*60,0)/1440)</f>
        <v>0</v>
      </c>
      <c r="AC56" s="18" t="n">
        <f aca="false">IF(H56=0,0,ROUND(V56*1440+H$3*60,0)/1440)</f>
        <v>0</v>
      </c>
      <c r="AD56" s="18" t="n">
        <f aca="false">IF(I56=0,0,ROUND(W56*1440+I$3*60,0)/1440)</f>
        <v>0</v>
      </c>
      <c r="AE56" s="18" t="n">
        <f aca="false">IF(J56=0,0,ROUND(X56*1440+J$3*60,0)/1440)</f>
        <v>0</v>
      </c>
      <c r="AF56" s="18" t="n">
        <f aca="false">IF(K56=0,0,ROUND(Y56*1440+K$3*60,0)/1440)</f>
        <v>0</v>
      </c>
      <c r="AG56" s="18" t="n">
        <f aca="false">IF(L56=0,0,ROUND(Z56*1440+L$3*60,0)/1440)</f>
        <v>0</v>
      </c>
      <c r="AH56" s="19" t="n">
        <f aca="false">SUMPRODUCT((MOD(AO$1:AU$1-0,7)&lt;Inputs!$B$6)*AO$2:AU$2*(AO55:AU55+1))*100+MOD(0-5,7)</f>
        <v>1602</v>
      </c>
      <c r="AI56" s="19" t="n">
        <f aca="false">SUMPRODUCT((MOD(AO$1:AU$1-1,7)&lt;Inputs!$B$6)*AO$2:AU$2*(AO55:AU55+1))*100+MOD(1-5,7)</f>
        <v>1403</v>
      </c>
      <c r="AJ56" s="19" t="n">
        <f aca="false">SUMPRODUCT((MOD(AO$1:AU$1-2,7)&lt;Inputs!$B$6)*AO$2:AU$2*(AO55:AU55+1))*100+MOD(2-5,7)</f>
        <v>1404</v>
      </c>
      <c r="AK56" s="19" t="n">
        <f aca="false">SUMPRODUCT((MOD(AO$1:AU$1-3,7)&lt;Inputs!$B$6)*AO$2:AU$2*(AO55:AU55+1))*100+MOD(3-5,7)</f>
        <v>1405</v>
      </c>
      <c r="AL56" s="19" t="n">
        <f aca="false">SUMPRODUCT((MOD(AO$1:AU$1-4,7)&lt;Inputs!$B$6)*AO$2:AU$2*(AO55:AU55+1))*100+MOD(4-5,7)</f>
        <v>1406</v>
      </c>
      <c r="AM56" s="19" t="n">
        <f aca="false">SUMPRODUCT((MOD(AO$1:AU$1-5,7)&lt;Inputs!$B$6)*AO$2:AU$2*(AO55:AU55+1))*100+MOD(5-5,7)</f>
        <v>1800</v>
      </c>
      <c r="AN56" s="19" t="n">
        <f aca="false">SUMPRODUCT((MOD(AO$1:AU$1-6,7)&lt;Inputs!$B$6)*AO$2:AU$2*(AO55:AU55+1))*100+MOD(6-5,7)</f>
        <v>1801</v>
      </c>
      <c r="AO56" s="19" t="n">
        <f aca="false">AO55+IF($B56=1,IF(MOD(0-$D56,7)&lt;Inputs!$B$6,1,0),0)</f>
        <v>3</v>
      </c>
      <c r="AP56" s="19" t="n">
        <f aca="false">AP55+IF($B56=1,IF(MOD(1-$D56,7)&lt;Inputs!$B$6,1,0),0)</f>
        <v>3</v>
      </c>
      <c r="AQ56" s="19" t="n">
        <f aca="false">AQ55+IF($B56=1,IF(MOD(2-$D56,7)&lt;Inputs!$B$6,1,0),0)</f>
        <v>2</v>
      </c>
      <c r="AR56" s="19" t="n">
        <f aca="false">AR55+IF($B56=1,IF(MOD(3-$D56,7)&lt;Inputs!$B$6,1,0),0)</f>
        <v>3</v>
      </c>
      <c r="AS56" s="19" t="n">
        <f aca="false">AS55+IF($B56=1,IF(MOD(4-$D56,7)&lt;Inputs!$B$6,1,0),0)</f>
        <v>2</v>
      </c>
      <c r="AT56" s="19" t="n">
        <f aca="false">AT55+IF($B56=1,IF(MOD(5-$D56,7)&lt;Inputs!$B$6,1,0),0)</f>
        <v>3</v>
      </c>
      <c r="AU56" s="19" t="n">
        <f aca="false">AU55+IF($B56=1,IF(MOD(6-$D56,7)&lt;Inputs!$B$6,1,0),0)</f>
        <v>4</v>
      </c>
    </row>
    <row r="57" customFormat="false" ht="15" hidden="false" customHeight="false" outlineLevel="0" collapsed="false">
      <c r="A57" s="0" t="n">
        <v>52</v>
      </c>
      <c r="B57" s="0" t="n">
        <f aca="false">IF(A57&lt;=Inputs!$B$3,1,0)</f>
        <v>0</v>
      </c>
      <c r="C57" s="0" t="n">
        <f aca="false">MOD(5+MOD(A57-1,7),7)</f>
        <v>0</v>
      </c>
      <c r="D57" s="0" t="n">
        <f aca="false">IF(Inputs!C74&lt;&gt;"",MATCH(Inputs!C74,Inputs!$A$11:$A$17,0)-1,IF(B57=0,0,MATCH(MIN(AH57:AN57),AH57:AN57,0)-1))</f>
        <v>0</v>
      </c>
      <c r="F57" s="0" t="n">
        <f aca="false">IF(OR($B57=0,F$3=0),0,IF(MOD(0-$D57,7)&lt;Inputs!$B$6,0,1))</f>
        <v>0</v>
      </c>
      <c r="G57" s="0" t="n">
        <f aca="false">IF(OR($B57=0,G$3=0),0,IF(MOD(1-$D57,7)&lt;Inputs!$B$6,0,1))</f>
        <v>0</v>
      </c>
      <c r="H57" s="0" t="n">
        <f aca="false">IF(OR($B57=0,H$3=0),0,IF(MOD(2-$D57,7)&lt;Inputs!$B$6,0,1))</f>
        <v>0</v>
      </c>
      <c r="I57" s="0" t="n">
        <f aca="false">IF(OR($B57=0,I$3=0),0,IF(MOD(3-$D57,7)&lt;Inputs!$B$6,0,1))</f>
        <v>0</v>
      </c>
      <c r="J57" s="0" t="n">
        <f aca="false">IF(OR($B57=0,J$3=0),0,IF(MOD(4-$D57,7)&lt;Inputs!$B$6,0,1))</f>
        <v>0</v>
      </c>
      <c r="K57" s="0" t="n">
        <f aca="false">IF(OR($B57=0,K$3=0),0,IF(MOD(5-$D57,7)&lt;Inputs!$B$6,0,1))</f>
        <v>0</v>
      </c>
      <c r="L57" s="0" t="n">
        <f aca="false">IF(OR($B57=0,L$3=0),0,IF(MOD(6-$D57,7)&lt;Inputs!$B$6,0,1))</f>
        <v>0</v>
      </c>
      <c r="M57" s="0" t="n">
        <f aca="false">SUM(F$6:F57)</f>
        <v>7</v>
      </c>
      <c r="N57" s="0" t="n">
        <f aca="false">SUM(G$6:G57)</f>
        <v>7</v>
      </c>
      <c r="O57" s="0" t="n">
        <f aca="false">SUM(H$6:H57)</f>
        <v>8</v>
      </c>
      <c r="P57" s="0" t="n">
        <f aca="false">SUM(I$6:I57)</f>
        <v>7</v>
      </c>
      <c r="Q57" s="0" t="n">
        <f aca="false">SUM(J$6:J57)</f>
        <v>8</v>
      </c>
      <c r="R57" s="0" t="n">
        <f aca="false">SUM(K$6:K57)</f>
        <v>7</v>
      </c>
      <c r="S57" s="0" t="n">
        <f aca="false">SUM(L$6:L57)</f>
        <v>6</v>
      </c>
      <c r="T57" s="18" t="n">
        <f aca="false">IF(F57=0,0,IF(Inputs!$D74="Open",F$1,IF(Inputs!$D74="Close",ROUND(F$2*1440-F$3*60,0)/1440,IF(OR(INT((M57-1)/Inputs!$B$7)=0,(INT((M$3-1-MOD(M57-1,Inputs!$B$7))/Inputs!$B$7)+1)&lt;=1),F$1,IF(INT((M57-1)/Inputs!$B$7)&gt;=(INT((M$3-1-MOD(M57-1,Inputs!$B$7))/Inputs!$B$7)+1)-1,ROUND(F$2*1440-F$3*60,0)/1440,MAX(F$1,MIN(ROUND(F$2*1440-F$3*60,0)/1440,ROUND((F$1+INT((M57-1)/Inputs!$B$7)/((INT((M$3-1-MOD(M57-1,Inputs!$B$7))/Inputs!$B$7)+1)-1)*((ROUND(F$2*1440-F$3*60,0)/1440)-F$1))*96,0)/96)))))))</f>
        <v>0</v>
      </c>
      <c r="U57" s="18" t="n">
        <f aca="false">IF(G57=0,0,IF(Inputs!$D74="Open",G$1,IF(Inputs!$D74="Close",ROUND(G$2*1440-G$3*60,0)/1440,IF(OR(INT((N57-1)/Inputs!$B$7)=0,(INT((N$3-1-MOD(N57-1,Inputs!$B$7))/Inputs!$B$7)+1)&lt;=1),G$1,IF(INT((N57-1)/Inputs!$B$7)&gt;=(INT((N$3-1-MOD(N57-1,Inputs!$B$7))/Inputs!$B$7)+1)-1,ROUND(G$2*1440-G$3*60,0)/1440,MAX(G$1,MIN(ROUND(G$2*1440-G$3*60,0)/1440,ROUND((G$1+INT((N57-1)/Inputs!$B$7)/((INT((N$3-1-MOD(N57-1,Inputs!$B$7))/Inputs!$B$7)+1)-1)*((ROUND(G$2*1440-G$3*60,0)/1440)-G$1))*96,0)/96)))))))</f>
        <v>0</v>
      </c>
      <c r="V57" s="18" t="n">
        <f aca="false">IF(H57=0,0,IF(Inputs!$D74="Open",H$1,IF(Inputs!$D74="Close",ROUND(H$2*1440-H$3*60,0)/1440,IF(OR(INT((O57-1)/Inputs!$B$7)=0,(INT((O$3-1-MOD(O57-1,Inputs!$B$7))/Inputs!$B$7)+1)&lt;=1),H$1,IF(INT((O57-1)/Inputs!$B$7)&gt;=(INT((O$3-1-MOD(O57-1,Inputs!$B$7))/Inputs!$B$7)+1)-1,ROUND(H$2*1440-H$3*60,0)/1440,MAX(H$1,MIN(ROUND(H$2*1440-H$3*60,0)/1440,ROUND((H$1+INT((O57-1)/Inputs!$B$7)/((INT((O$3-1-MOD(O57-1,Inputs!$B$7))/Inputs!$B$7)+1)-1)*((ROUND(H$2*1440-H$3*60,0)/1440)-H$1))*96,0)/96)))))))</f>
        <v>0</v>
      </c>
      <c r="W57" s="18" t="n">
        <f aca="false">IF(I57=0,0,IF(Inputs!$D74="Open",I$1,IF(Inputs!$D74="Close",ROUND(I$2*1440-I$3*60,0)/1440,IF(OR(INT((P57-1)/Inputs!$B$7)=0,(INT((P$3-1-MOD(P57-1,Inputs!$B$7))/Inputs!$B$7)+1)&lt;=1),I$1,IF(INT((P57-1)/Inputs!$B$7)&gt;=(INT((P$3-1-MOD(P57-1,Inputs!$B$7))/Inputs!$B$7)+1)-1,ROUND(I$2*1440-I$3*60,0)/1440,MAX(I$1,MIN(ROUND(I$2*1440-I$3*60,0)/1440,ROUND((I$1+INT((P57-1)/Inputs!$B$7)/((INT((P$3-1-MOD(P57-1,Inputs!$B$7))/Inputs!$B$7)+1)-1)*((ROUND(I$2*1440-I$3*60,0)/1440)-I$1))*96,0)/96)))))))</f>
        <v>0</v>
      </c>
      <c r="X57" s="18" t="n">
        <f aca="false">IF(J57=0,0,IF(Inputs!$D74="Open",J$1,IF(Inputs!$D74="Close",ROUND(J$2*1440-J$3*60,0)/1440,IF(OR(INT((Q57-1)/Inputs!$B$7)=0,(INT((Q$3-1-MOD(Q57-1,Inputs!$B$7))/Inputs!$B$7)+1)&lt;=1),J$1,IF(INT((Q57-1)/Inputs!$B$7)&gt;=(INT((Q$3-1-MOD(Q57-1,Inputs!$B$7))/Inputs!$B$7)+1)-1,ROUND(J$2*1440-J$3*60,0)/1440,MAX(J$1,MIN(ROUND(J$2*1440-J$3*60,0)/1440,ROUND((J$1+INT((Q57-1)/Inputs!$B$7)/((INT((Q$3-1-MOD(Q57-1,Inputs!$B$7))/Inputs!$B$7)+1)-1)*((ROUND(J$2*1440-J$3*60,0)/1440)-J$1))*96,0)/96)))))))</f>
        <v>0</v>
      </c>
      <c r="Y57" s="18" t="n">
        <f aca="false">IF(K57=0,0,IF(Inputs!$D74="Open",K$1,IF(Inputs!$D74="Close",ROUND(K$2*1440-K$3*60,0)/1440,IF(OR(INT((R57-1)/Inputs!$B$7)=0,(INT((R$3-1-MOD(R57-1,Inputs!$B$7))/Inputs!$B$7)+1)&lt;=1),K$1,IF(INT((R57-1)/Inputs!$B$7)&gt;=(INT((R$3-1-MOD(R57-1,Inputs!$B$7))/Inputs!$B$7)+1)-1,ROUND(K$2*1440-K$3*60,0)/1440,MAX(K$1,MIN(ROUND(K$2*1440-K$3*60,0)/1440,ROUND((K$1+INT((R57-1)/Inputs!$B$7)/((INT((R$3-1-MOD(R57-1,Inputs!$B$7))/Inputs!$B$7)+1)-1)*((ROUND(K$2*1440-K$3*60,0)/1440)-K$1))*96,0)/96)))))))</f>
        <v>0</v>
      </c>
      <c r="Z57" s="18" t="n">
        <f aca="false">IF(L57=0,0,IF(Inputs!$D74="Open",L$1,IF(Inputs!$D74="Close",ROUND(L$2*1440-L$3*60,0)/1440,IF(OR(INT((S57-1)/Inputs!$B$7)=0,(INT((S$3-1-MOD(S57-1,Inputs!$B$7))/Inputs!$B$7)+1)&lt;=1),L$1,IF(INT((S57-1)/Inputs!$B$7)&gt;=(INT((S$3-1-MOD(S57-1,Inputs!$B$7))/Inputs!$B$7)+1)-1,ROUND(L$2*1440-L$3*60,0)/1440,MAX(L$1,MIN(ROUND(L$2*1440-L$3*60,0)/1440,ROUND((L$1+INT((S57-1)/Inputs!$B$7)/((INT((S$3-1-MOD(S57-1,Inputs!$B$7))/Inputs!$B$7)+1)-1)*((ROUND(L$2*1440-L$3*60,0)/1440)-L$1))*96,0)/96)))))))</f>
        <v>0</v>
      </c>
      <c r="AA57" s="18" t="n">
        <f aca="false">IF(F57=0,0,ROUND(T57*1440+F$3*60,0)/1440)</f>
        <v>0</v>
      </c>
      <c r="AB57" s="18" t="n">
        <f aca="false">IF(G57=0,0,ROUND(U57*1440+G$3*60,0)/1440)</f>
        <v>0</v>
      </c>
      <c r="AC57" s="18" t="n">
        <f aca="false">IF(H57=0,0,ROUND(V57*1440+H$3*60,0)/1440)</f>
        <v>0</v>
      </c>
      <c r="AD57" s="18" t="n">
        <f aca="false">IF(I57=0,0,ROUND(W57*1440+I$3*60,0)/1440)</f>
        <v>0</v>
      </c>
      <c r="AE57" s="18" t="n">
        <f aca="false">IF(J57=0,0,ROUND(X57*1440+J$3*60,0)/1440)</f>
        <v>0</v>
      </c>
      <c r="AF57" s="18" t="n">
        <f aca="false">IF(K57=0,0,ROUND(Y57*1440+K$3*60,0)/1440)</f>
        <v>0</v>
      </c>
      <c r="AG57" s="18" t="n">
        <f aca="false">IF(L57=0,0,ROUND(Z57*1440+L$3*60,0)/1440)</f>
        <v>0</v>
      </c>
      <c r="AH57" s="19" t="n">
        <f aca="false">SUMPRODUCT((MOD(AO$1:AU$1-0,7)&lt;Inputs!$B$6)*AO$2:AU$2*(AO56:AU56+1))*100+MOD(0-5,7)</f>
        <v>1602</v>
      </c>
      <c r="AI57" s="19" t="n">
        <f aca="false">SUMPRODUCT((MOD(AO$1:AU$1-1,7)&lt;Inputs!$B$6)*AO$2:AU$2*(AO56:AU56+1))*100+MOD(1-5,7)</f>
        <v>1403</v>
      </c>
      <c r="AJ57" s="19" t="n">
        <f aca="false">SUMPRODUCT((MOD(AO$1:AU$1-2,7)&lt;Inputs!$B$6)*AO$2:AU$2*(AO56:AU56+1))*100+MOD(2-5,7)</f>
        <v>1404</v>
      </c>
      <c r="AK57" s="19" t="n">
        <f aca="false">SUMPRODUCT((MOD(AO$1:AU$1-3,7)&lt;Inputs!$B$6)*AO$2:AU$2*(AO56:AU56+1))*100+MOD(3-5,7)</f>
        <v>1405</v>
      </c>
      <c r="AL57" s="19" t="n">
        <f aca="false">SUMPRODUCT((MOD(AO$1:AU$1-4,7)&lt;Inputs!$B$6)*AO$2:AU$2*(AO56:AU56+1))*100+MOD(4-5,7)</f>
        <v>1406</v>
      </c>
      <c r="AM57" s="19" t="n">
        <f aca="false">SUMPRODUCT((MOD(AO$1:AU$1-5,7)&lt;Inputs!$B$6)*AO$2:AU$2*(AO56:AU56+1))*100+MOD(5-5,7)</f>
        <v>1800</v>
      </c>
      <c r="AN57" s="19" t="n">
        <f aca="false">SUMPRODUCT((MOD(AO$1:AU$1-6,7)&lt;Inputs!$B$6)*AO$2:AU$2*(AO56:AU56+1))*100+MOD(6-5,7)</f>
        <v>1801</v>
      </c>
      <c r="AO57" s="19" t="n">
        <f aca="false">AO56+IF($B57=1,IF(MOD(0-$D57,7)&lt;Inputs!$B$6,1,0),0)</f>
        <v>3</v>
      </c>
      <c r="AP57" s="19" t="n">
        <f aca="false">AP56+IF($B57=1,IF(MOD(1-$D57,7)&lt;Inputs!$B$6,1,0),0)</f>
        <v>3</v>
      </c>
      <c r="AQ57" s="19" t="n">
        <f aca="false">AQ56+IF($B57=1,IF(MOD(2-$D57,7)&lt;Inputs!$B$6,1,0),0)</f>
        <v>2</v>
      </c>
      <c r="AR57" s="19" t="n">
        <f aca="false">AR56+IF($B57=1,IF(MOD(3-$D57,7)&lt;Inputs!$B$6,1,0),0)</f>
        <v>3</v>
      </c>
      <c r="AS57" s="19" t="n">
        <f aca="false">AS56+IF($B57=1,IF(MOD(4-$D57,7)&lt;Inputs!$B$6,1,0),0)</f>
        <v>2</v>
      </c>
      <c r="AT57" s="19" t="n">
        <f aca="false">AT56+IF($B57=1,IF(MOD(5-$D57,7)&lt;Inputs!$B$6,1,0),0)</f>
        <v>3</v>
      </c>
      <c r="AU57" s="19" t="n">
        <f aca="false">AU56+IF($B57=1,IF(MOD(6-$D57,7)&lt;Inputs!$B$6,1,0),0)</f>
        <v>4</v>
      </c>
    </row>
    <row r="58" customFormat="false" ht="15" hidden="false" customHeight="false" outlineLevel="0" collapsed="false">
      <c r="A58" s="0" t="n">
        <v>53</v>
      </c>
      <c r="B58" s="0" t="n">
        <f aca="false">IF(A58&lt;=Inputs!$B$3,1,0)</f>
        <v>0</v>
      </c>
      <c r="C58" s="0" t="n">
        <f aca="false">MOD(5+MOD(A58-1,7),7)</f>
        <v>1</v>
      </c>
      <c r="D58" s="0" t="n">
        <f aca="false">IF(Inputs!C75&lt;&gt;"",MATCH(Inputs!C75,Inputs!$A$11:$A$17,0)-1,IF(B58=0,0,MATCH(MIN(AH58:AN58),AH58:AN58,0)-1))</f>
        <v>0</v>
      </c>
      <c r="F58" s="0" t="n">
        <f aca="false">IF(OR($B58=0,F$3=0),0,IF(MOD(0-$D58,7)&lt;Inputs!$B$6,0,1))</f>
        <v>0</v>
      </c>
      <c r="G58" s="0" t="n">
        <f aca="false">IF(OR($B58=0,G$3=0),0,IF(MOD(1-$D58,7)&lt;Inputs!$B$6,0,1))</f>
        <v>0</v>
      </c>
      <c r="H58" s="0" t="n">
        <f aca="false">IF(OR($B58=0,H$3=0),0,IF(MOD(2-$D58,7)&lt;Inputs!$B$6,0,1))</f>
        <v>0</v>
      </c>
      <c r="I58" s="0" t="n">
        <f aca="false">IF(OR($B58=0,I$3=0),0,IF(MOD(3-$D58,7)&lt;Inputs!$B$6,0,1))</f>
        <v>0</v>
      </c>
      <c r="J58" s="0" t="n">
        <f aca="false">IF(OR($B58=0,J$3=0),0,IF(MOD(4-$D58,7)&lt;Inputs!$B$6,0,1))</f>
        <v>0</v>
      </c>
      <c r="K58" s="0" t="n">
        <f aca="false">IF(OR($B58=0,K$3=0),0,IF(MOD(5-$D58,7)&lt;Inputs!$B$6,0,1))</f>
        <v>0</v>
      </c>
      <c r="L58" s="0" t="n">
        <f aca="false">IF(OR($B58=0,L$3=0),0,IF(MOD(6-$D58,7)&lt;Inputs!$B$6,0,1))</f>
        <v>0</v>
      </c>
      <c r="M58" s="0" t="n">
        <f aca="false">SUM(F$6:F58)</f>
        <v>7</v>
      </c>
      <c r="N58" s="0" t="n">
        <f aca="false">SUM(G$6:G58)</f>
        <v>7</v>
      </c>
      <c r="O58" s="0" t="n">
        <f aca="false">SUM(H$6:H58)</f>
        <v>8</v>
      </c>
      <c r="P58" s="0" t="n">
        <f aca="false">SUM(I$6:I58)</f>
        <v>7</v>
      </c>
      <c r="Q58" s="0" t="n">
        <f aca="false">SUM(J$6:J58)</f>
        <v>8</v>
      </c>
      <c r="R58" s="0" t="n">
        <f aca="false">SUM(K$6:K58)</f>
        <v>7</v>
      </c>
      <c r="S58" s="0" t="n">
        <f aca="false">SUM(L$6:L58)</f>
        <v>6</v>
      </c>
      <c r="T58" s="18" t="n">
        <f aca="false">IF(F58=0,0,IF(Inputs!$D75="Open",F$1,IF(Inputs!$D75="Close",ROUND(F$2*1440-F$3*60,0)/1440,IF(OR(INT((M58-1)/Inputs!$B$7)=0,(INT((M$3-1-MOD(M58-1,Inputs!$B$7))/Inputs!$B$7)+1)&lt;=1),F$1,IF(INT((M58-1)/Inputs!$B$7)&gt;=(INT((M$3-1-MOD(M58-1,Inputs!$B$7))/Inputs!$B$7)+1)-1,ROUND(F$2*1440-F$3*60,0)/1440,MAX(F$1,MIN(ROUND(F$2*1440-F$3*60,0)/1440,ROUND((F$1+INT((M58-1)/Inputs!$B$7)/((INT((M$3-1-MOD(M58-1,Inputs!$B$7))/Inputs!$B$7)+1)-1)*((ROUND(F$2*1440-F$3*60,0)/1440)-F$1))*96,0)/96)))))))</f>
        <v>0</v>
      </c>
      <c r="U58" s="18" t="n">
        <f aca="false">IF(G58=0,0,IF(Inputs!$D75="Open",G$1,IF(Inputs!$D75="Close",ROUND(G$2*1440-G$3*60,0)/1440,IF(OR(INT((N58-1)/Inputs!$B$7)=0,(INT((N$3-1-MOD(N58-1,Inputs!$B$7))/Inputs!$B$7)+1)&lt;=1),G$1,IF(INT((N58-1)/Inputs!$B$7)&gt;=(INT((N$3-1-MOD(N58-1,Inputs!$B$7))/Inputs!$B$7)+1)-1,ROUND(G$2*1440-G$3*60,0)/1440,MAX(G$1,MIN(ROUND(G$2*1440-G$3*60,0)/1440,ROUND((G$1+INT((N58-1)/Inputs!$B$7)/((INT((N$3-1-MOD(N58-1,Inputs!$B$7))/Inputs!$B$7)+1)-1)*((ROUND(G$2*1440-G$3*60,0)/1440)-G$1))*96,0)/96)))))))</f>
        <v>0</v>
      </c>
      <c r="V58" s="18" t="n">
        <f aca="false">IF(H58=0,0,IF(Inputs!$D75="Open",H$1,IF(Inputs!$D75="Close",ROUND(H$2*1440-H$3*60,0)/1440,IF(OR(INT((O58-1)/Inputs!$B$7)=0,(INT((O$3-1-MOD(O58-1,Inputs!$B$7))/Inputs!$B$7)+1)&lt;=1),H$1,IF(INT((O58-1)/Inputs!$B$7)&gt;=(INT((O$3-1-MOD(O58-1,Inputs!$B$7))/Inputs!$B$7)+1)-1,ROUND(H$2*1440-H$3*60,0)/1440,MAX(H$1,MIN(ROUND(H$2*1440-H$3*60,0)/1440,ROUND((H$1+INT((O58-1)/Inputs!$B$7)/((INT((O$3-1-MOD(O58-1,Inputs!$B$7))/Inputs!$B$7)+1)-1)*((ROUND(H$2*1440-H$3*60,0)/1440)-H$1))*96,0)/96)))))))</f>
        <v>0</v>
      </c>
      <c r="W58" s="18" t="n">
        <f aca="false">IF(I58=0,0,IF(Inputs!$D75="Open",I$1,IF(Inputs!$D75="Close",ROUND(I$2*1440-I$3*60,0)/1440,IF(OR(INT((P58-1)/Inputs!$B$7)=0,(INT((P$3-1-MOD(P58-1,Inputs!$B$7))/Inputs!$B$7)+1)&lt;=1),I$1,IF(INT((P58-1)/Inputs!$B$7)&gt;=(INT((P$3-1-MOD(P58-1,Inputs!$B$7))/Inputs!$B$7)+1)-1,ROUND(I$2*1440-I$3*60,0)/1440,MAX(I$1,MIN(ROUND(I$2*1440-I$3*60,0)/1440,ROUND((I$1+INT((P58-1)/Inputs!$B$7)/((INT((P$3-1-MOD(P58-1,Inputs!$B$7))/Inputs!$B$7)+1)-1)*((ROUND(I$2*1440-I$3*60,0)/1440)-I$1))*96,0)/96)))))))</f>
        <v>0</v>
      </c>
      <c r="X58" s="18" t="n">
        <f aca="false">IF(J58=0,0,IF(Inputs!$D75="Open",J$1,IF(Inputs!$D75="Close",ROUND(J$2*1440-J$3*60,0)/1440,IF(OR(INT((Q58-1)/Inputs!$B$7)=0,(INT((Q$3-1-MOD(Q58-1,Inputs!$B$7))/Inputs!$B$7)+1)&lt;=1),J$1,IF(INT((Q58-1)/Inputs!$B$7)&gt;=(INT((Q$3-1-MOD(Q58-1,Inputs!$B$7))/Inputs!$B$7)+1)-1,ROUND(J$2*1440-J$3*60,0)/1440,MAX(J$1,MIN(ROUND(J$2*1440-J$3*60,0)/1440,ROUND((J$1+INT((Q58-1)/Inputs!$B$7)/((INT((Q$3-1-MOD(Q58-1,Inputs!$B$7))/Inputs!$B$7)+1)-1)*((ROUND(J$2*1440-J$3*60,0)/1440)-J$1))*96,0)/96)))))))</f>
        <v>0</v>
      </c>
      <c r="Y58" s="18" t="n">
        <f aca="false">IF(K58=0,0,IF(Inputs!$D75="Open",K$1,IF(Inputs!$D75="Close",ROUND(K$2*1440-K$3*60,0)/1440,IF(OR(INT((R58-1)/Inputs!$B$7)=0,(INT((R$3-1-MOD(R58-1,Inputs!$B$7))/Inputs!$B$7)+1)&lt;=1),K$1,IF(INT((R58-1)/Inputs!$B$7)&gt;=(INT((R$3-1-MOD(R58-1,Inputs!$B$7))/Inputs!$B$7)+1)-1,ROUND(K$2*1440-K$3*60,0)/1440,MAX(K$1,MIN(ROUND(K$2*1440-K$3*60,0)/1440,ROUND((K$1+INT((R58-1)/Inputs!$B$7)/((INT((R$3-1-MOD(R58-1,Inputs!$B$7))/Inputs!$B$7)+1)-1)*((ROUND(K$2*1440-K$3*60,0)/1440)-K$1))*96,0)/96)))))))</f>
        <v>0</v>
      </c>
      <c r="Z58" s="18" t="n">
        <f aca="false">IF(L58=0,0,IF(Inputs!$D75="Open",L$1,IF(Inputs!$D75="Close",ROUND(L$2*1440-L$3*60,0)/1440,IF(OR(INT((S58-1)/Inputs!$B$7)=0,(INT((S$3-1-MOD(S58-1,Inputs!$B$7))/Inputs!$B$7)+1)&lt;=1),L$1,IF(INT((S58-1)/Inputs!$B$7)&gt;=(INT((S$3-1-MOD(S58-1,Inputs!$B$7))/Inputs!$B$7)+1)-1,ROUND(L$2*1440-L$3*60,0)/1440,MAX(L$1,MIN(ROUND(L$2*1440-L$3*60,0)/1440,ROUND((L$1+INT((S58-1)/Inputs!$B$7)/((INT((S$3-1-MOD(S58-1,Inputs!$B$7))/Inputs!$B$7)+1)-1)*((ROUND(L$2*1440-L$3*60,0)/1440)-L$1))*96,0)/96)))))))</f>
        <v>0</v>
      </c>
      <c r="AA58" s="18" t="n">
        <f aca="false">IF(F58=0,0,ROUND(T58*1440+F$3*60,0)/1440)</f>
        <v>0</v>
      </c>
      <c r="AB58" s="18" t="n">
        <f aca="false">IF(G58=0,0,ROUND(U58*1440+G$3*60,0)/1440)</f>
        <v>0</v>
      </c>
      <c r="AC58" s="18" t="n">
        <f aca="false">IF(H58=0,0,ROUND(V58*1440+H$3*60,0)/1440)</f>
        <v>0</v>
      </c>
      <c r="AD58" s="18" t="n">
        <f aca="false">IF(I58=0,0,ROUND(W58*1440+I$3*60,0)/1440)</f>
        <v>0</v>
      </c>
      <c r="AE58" s="18" t="n">
        <f aca="false">IF(J58=0,0,ROUND(X58*1440+J$3*60,0)/1440)</f>
        <v>0</v>
      </c>
      <c r="AF58" s="18" t="n">
        <f aca="false">IF(K58=0,0,ROUND(Y58*1440+K$3*60,0)/1440)</f>
        <v>0</v>
      </c>
      <c r="AG58" s="18" t="n">
        <f aca="false">IF(L58=0,0,ROUND(Z58*1440+L$3*60,0)/1440)</f>
        <v>0</v>
      </c>
      <c r="AH58" s="19" t="n">
        <f aca="false">SUMPRODUCT((MOD(AO$1:AU$1-0,7)&lt;Inputs!$B$6)*AO$2:AU$2*(AO57:AU57+1))*100+MOD(0-5,7)</f>
        <v>1602</v>
      </c>
      <c r="AI58" s="19" t="n">
        <f aca="false">SUMPRODUCT((MOD(AO$1:AU$1-1,7)&lt;Inputs!$B$6)*AO$2:AU$2*(AO57:AU57+1))*100+MOD(1-5,7)</f>
        <v>1403</v>
      </c>
      <c r="AJ58" s="19" t="n">
        <f aca="false">SUMPRODUCT((MOD(AO$1:AU$1-2,7)&lt;Inputs!$B$6)*AO$2:AU$2*(AO57:AU57+1))*100+MOD(2-5,7)</f>
        <v>1404</v>
      </c>
      <c r="AK58" s="19" t="n">
        <f aca="false">SUMPRODUCT((MOD(AO$1:AU$1-3,7)&lt;Inputs!$B$6)*AO$2:AU$2*(AO57:AU57+1))*100+MOD(3-5,7)</f>
        <v>1405</v>
      </c>
      <c r="AL58" s="19" t="n">
        <f aca="false">SUMPRODUCT((MOD(AO$1:AU$1-4,7)&lt;Inputs!$B$6)*AO$2:AU$2*(AO57:AU57+1))*100+MOD(4-5,7)</f>
        <v>1406</v>
      </c>
      <c r="AM58" s="19" t="n">
        <f aca="false">SUMPRODUCT((MOD(AO$1:AU$1-5,7)&lt;Inputs!$B$6)*AO$2:AU$2*(AO57:AU57+1))*100+MOD(5-5,7)</f>
        <v>1800</v>
      </c>
      <c r="AN58" s="19" t="n">
        <f aca="false">SUMPRODUCT((MOD(AO$1:AU$1-6,7)&lt;Inputs!$B$6)*AO$2:AU$2*(AO57:AU57+1))*100+MOD(6-5,7)</f>
        <v>1801</v>
      </c>
      <c r="AO58" s="19" t="n">
        <f aca="false">AO57+IF($B58=1,IF(MOD(0-$D58,7)&lt;Inputs!$B$6,1,0),0)</f>
        <v>3</v>
      </c>
      <c r="AP58" s="19" t="n">
        <f aca="false">AP57+IF($B58=1,IF(MOD(1-$D58,7)&lt;Inputs!$B$6,1,0),0)</f>
        <v>3</v>
      </c>
      <c r="AQ58" s="19" t="n">
        <f aca="false">AQ57+IF($B58=1,IF(MOD(2-$D58,7)&lt;Inputs!$B$6,1,0),0)</f>
        <v>2</v>
      </c>
      <c r="AR58" s="19" t="n">
        <f aca="false">AR57+IF($B58=1,IF(MOD(3-$D58,7)&lt;Inputs!$B$6,1,0),0)</f>
        <v>3</v>
      </c>
      <c r="AS58" s="19" t="n">
        <f aca="false">AS57+IF($B58=1,IF(MOD(4-$D58,7)&lt;Inputs!$B$6,1,0),0)</f>
        <v>2</v>
      </c>
      <c r="AT58" s="19" t="n">
        <f aca="false">AT57+IF($B58=1,IF(MOD(5-$D58,7)&lt;Inputs!$B$6,1,0),0)</f>
        <v>3</v>
      </c>
      <c r="AU58" s="19" t="n">
        <f aca="false">AU57+IF($B58=1,IF(MOD(6-$D58,7)&lt;Inputs!$B$6,1,0),0)</f>
        <v>4</v>
      </c>
    </row>
    <row r="59" customFormat="false" ht="15" hidden="false" customHeight="false" outlineLevel="0" collapsed="false">
      <c r="A59" s="0" t="n">
        <v>54</v>
      </c>
      <c r="B59" s="0" t="n">
        <f aca="false">IF(A59&lt;=Inputs!$B$3,1,0)</f>
        <v>0</v>
      </c>
      <c r="C59" s="0" t="n">
        <f aca="false">MOD(5+MOD(A59-1,7),7)</f>
        <v>2</v>
      </c>
      <c r="D59" s="0" t="n">
        <f aca="false">IF(Inputs!C76&lt;&gt;"",MATCH(Inputs!C76,Inputs!$A$11:$A$17,0)-1,IF(B59=0,0,MATCH(MIN(AH59:AN59),AH59:AN59,0)-1))</f>
        <v>0</v>
      </c>
      <c r="F59" s="0" t="n">
        <f aca="false">IF(OR($B59=0,F$3=0),0,IF(MOD(0-$D59,7)&lt;Inputs!$B$6,0,1))</f>
        <v>0</v>
      </c>
      <c r="G59" s="0" t="n">
        <f aca="false">IF(OR($B59=0,G$3=0),0,IF(MOD(1-$D59,7)&lt;Inputs!$B$6,0,1))</f>
        <v>0</v>
      </c>
      <c r="H59" s="0" t="n">
        <f aca="false">IF(OR($B59=0,H$3=0),0,IF(MOD(2-$D59,7)&lt;Inputs!$B$6,0,1))</f>
        <v>0</v>
      </c>
      <c r="I59" s="0" t="n">
        <f aca="false">IF(OR($B59=0,I$3=0),0,IF(MOD(3-$D59,7)&lt;Inputs!$B$6,0,1))</f>
        <v>0</v>
      </c>
      <c r="J59" s="0" t="n">
        <f aca="false">IF(OR($B59=0,J$3=0),0,IF(MOD(4-$D59,7)&lt;Inputs!$B$6,0,1))</f>
        <v>0</v>
      </c>
      <c r="K59" s="0" t="n">
        <f aca="false">IF(OR($B59=0,K$3=0),0,IF(MOD(5-$D59,7)&lt;Inputs!$B$6,0,1))</f>
        <v>0</v>
      </c>
      <c r="L59" s="0" t="n">
        <f aca="false">IF(OR($B59=0,L$3=0),0,IF(MOD(6-$D59,7)&lt;Inputs!$B$6,0,1))</f>
        <v>0</v>
      </c>
      <c r="M59" s="0" t="n">
        <f aca="false">SUM(F$6:F59)</f>
        <v>7</v>
      </c>
      <c r="N59" s="0" t="n">
        <f aca="false">SUM(G$6:G59)</f>
        <v>7</v>
      </c>
      <c r="O59" s="0" t="n">
        <f aca="false">SUM(H$6:H59)</f>
        <v>8</v>
      </c>
      <c r="P59" s="0" t="n">
        <f aca="false">SUM(I$6:I59)</f>
        <v>7</v>
      </c>
      <c r="Q59" s="0" t="n">
        <f aca="false">SUM(J$6:J59)</f>
        <v>8</v>
      </c>
      <c r="R59" s="0" t="n">
        <f aca="false">SUM(K$6:K59)</f>
        <v>7</v>
      </c>
      <c r="S59" s="0" t="n">
        <f aca="false">SUM(L$6:L59)</f>
        <v>6</v>
      </c>
      <c r="T59" s="18" t="n">
        <f aca="false">IF(F59=0,0,IF(Inputs!$D76="Open",F$1,IF(Inputs!$D76="Close",ROUND(F$2*1440-F$3*60,0)/1440,IF(OR(INT((M59-1)/Inputs!$B$7)=0,(INT((M$3-1-MOD(M59-1,Inputs!$B$7))/Inputs!$B$7)+1)&lt;=1),F$1,IF(INT((M59-1)/Inputs!$B$7)&gt;=(INT((M$3-1-MOD(M59-1,Inputs!$B$7))/Inputs!$B$7)+1)-1,ROUND(F$2*1440-F$3*60,0)/1440,MAX(F$1,MIN(ROUND(F$2*1440-F$3*60,0)/1440,ROUND((F$1+INT((M59-1)/Inputs!$B$7)/((INT((M$3-1-MOD(M59-1,Inputs!$B$7))/Inputs!$B$7)+1)-1)*((ROUND(F$2*1440-F$3*60,0)/1440)-F$1))*96,0)/96)))))))</f>
        <v>0</v>
      </c>
      <c r="U59" s="18" t="n">
        <f aca="false">IF(G59=0,0,IF(Inputs!$D76="Open",G$1,IF(Inputs!$D76="Close",ROUND(G$2*1440-G$3*60,0)/1440,IF(OR(INT((N59-1)/Inputs!$B$7)=0,(INT((N$3-1-MOD(N59-1,Inputs!$B$7))/Inputs!$B$7)+1)&lt;=1),G$1,IF(INT((N59-1)/Inputs!$B$7)&gt;=(INT((N$3-1-MOD(N59-1,Inputs!$B$7))/Inputs!$B$7)+1)-1,ROUND(G$2*1440-G$3*60,0)/1440,MAX(G$1,MIN(ROUND(G$2*1440-G$3*60,0)/1440,ROUND((G$1+INT((N59-1)/Inputs!$B$7)/((INT((N$3-1-MOD(N59-1,Inputs!$B$7))/Inputs!$B$7)+1)-1)*((ROUND(G$2*1440-G$3*60,0)/1440)-G$1))*96,0)/96)))))))</f>
        <v>0</v>
      </c>
      <c r="V59" s="18" t="n">
        <f aca="false">IF(H59=0,0,IF(Inputs!$D76="Open",H$1,IF(Inputs!$D76="Close",ROUND(H$2*1440-H$3*60,0)/1440,IF(OR(INT((O59-1)/Inputs!$B$7)=0,(INT((O$3-1-MOD(O59-1,Inputs!$B$7))/Inputs!$B$7)+1)&lt;=1),H$1,IF(INT((O59-1)/Inputs!$B$7)&gt;=(INT((O$3-1-MOD(O59-1,Inputs!$B$7))/Inputs!$B$7)+1)-1,ROUND(H$2*1440-H$3*60,0)/1440,MAX(H$1,MIN(ROUND(H$2*1440-H$3*60,0)/1440,ROUND((H$1+INT((O59-1)/Inputs!$B$7)/((INT((O$3-1-MOD(O59-1,Inputs!$B$7))/Inputs!$B$7)+1)-1)*((ROUND(H$2*1440-H$3*60,0)/1440)-H$1))*96,0)/96)))))))</f>
        <v>0</v>
      </c>
      <c r="W59" s="18" t="n">
        <f aca="false">IF(I59=0,0,IF(Inputs!$D76="Open",I$1,IF(Inputs!$D76="Close",ROUND(I$2*1440-I$3*60,0)/1440,IF(OR(INT((P59-1)/Inputs!$B$7)=0,(INT((P$3-1-MOD(P59-1,Inputs!$B$7))/Inputs!$B$7)+1)&lt;=1),I$1,IF(INT((P59-1)/Inputs!$B$7)&gt;=(INT((P$3-1-MOD(P59-1,Inputs!$B$7))/Inputs!$B$7)+1)-1,ROUND(I$2*1440-I$3*60,0)/1440,MAX(I$1,MIN(ROUND(I$2*1440-I$3*60,0)/1440,ROUND((I$1+INT((P59-1)/Inputs!$B$7)/((INT((P$3-1-MOD(P59-1,Inputs!$B$7))/Inputs!$B$7)+1)-1)*((ROUND(I$2*1440-I$3*60,0)/1440)-I$1))*96,0)/96)))))))</f>
        <v>0</v>
      </c>
      <c r="X59" s="18" t="n">
        <f aca="false">IF(J59=0,0,IF(Inputs!$D76="Open",J$1,IF(Inputs!$D76="Close",ROUND(J$2*1440-J$3*60,0)/1440,IF(OR(INT((Q59-1)/Inputs!$B$7)=0,(INT((Q$3-1-MOD(Q59-1,Inputs!$B$7))/Inputs!$B$7)+1)&lt;=1),J$1,IF(INT((Q59-1)/Inputs!$B$7)&gt;=(INT((Q$3-1-MOD(Q59-1,Inputs!$B$7))/Inputs!$B$7)+1)-1,ROUND(J$2*1440-J$3*60,0)/1440,MAX(J$1,MIN(ROUND(J$2*1440-J$3*60,0)/1440,ROUND((J$1+INT((Q59-1)/Inputs!$B$7)/((INT((Q$3-1-MOD(Q59-1,Inputs!$B$7))/Inputs!$B$7)+1)-1)*((ROUND(J$2*1440-J$3*60,0)/1440)-J$1))*96,0)/96)))))))</f>
        <v>0</v>
      </c>
      <c r="Y59" s="18" t="n">
        <f aca="false">IF(K59=0,0,IF(Inputs!$D76="Open",K$1,IF(Inputs!$D76="Close",ROUND(K$2*1440-K$3*60,0)/1440,IF(OR(INT((R59-1)/Inputs!$B$7)=0,(INT((R$3-1-MOD(R59-1,Inputs!$B$7))/Inputs!$B$7)+1)&lt;=1),K$1,IF(INT((R59-1)/Inputs!$B$7)&gt;=(INT((R$3-1-MOD(R59-1,Inputs!$B$7))/Inputs!$B$7)+1)-1,ROUND(K$2*1440-K$3*60,0)/1440,MAX(K$1,MIN(ROUND(K$2*1440-K$3*60,0)/1440,ROUND((K$1+INT((R59-1)/Inputs!$B$7)/((INT((R$3-1-MOD(R59-1,Inputs!$B$7))/Inputs!$B$7)+1)-1)*((ROUND(K$2*1440-K$3*60,0)/1440)-K$1))*96,0)/96)))))))</f>
        <v>0</v>
      </c>
      <c r="Z59" s="18" t="n">
        <f aca="false">IF(L59=0,0,IF(Inputs!$D76="Open",L$1,IF(Inputs!$D76="Close",ROUND(L$2*1440-L$3*60,0)/1440,IF(OR(INT((S59-1)/Inputs!$B$7)=0,(INT((S$3-1-MOD(S59-1,Inputs!$B$7))/Inputs!$B$7)+1)&lt;=1),L$1,IF(INT((S59-1)/Inputs!$B$7)&gt;=(INT((S$3-1-MOD(S59-1,Inputs!$B$7))/Inputs!$B$7)+1)-1,ROUND(L$2*1440-L$3*60,0)/1440,MAX(L$1,MIN(ROUND(L$2*1440-L$3*60,0)/1440,ROUND((L$1+INT((S59-1)/Inputs!$B$7)/((INT((S$3-1-MOD(S59-1,Inputs!$B$7))/Inputs!$B$7)+1)-1)*((ROUND(L$2*1440-L$3*60,0)/1440)-L$1))*96,0)/96)))))))</f>
        <v>0</v>
      </c>
      <c r="AA59" s="18" t="n">
        <f aca="false">IF(F59=0,0,ROUND(T59*1440+F$3*60,0)/1440)</f>
        <v>0</v>
      </c>
      <c r="AB59" s="18" t="n">
        <f aca="false">IF(G59=0,0,ROUND(U59*1440+G$3*60,0)/1440)</f>
        <v>0</v>
      </c>
      <c r="AC59" s="18" t="n">
        <f aca="false">IF(H59=0,0,ROUND(V59*1440+H$3*60,0)/1440)</f>
        <v>0</v>
      </c>
      <c r="AD59" s="18" t="n">
        <f aca="false">IF(I59=0,0,ROUND(W59*1440+I$3*60,0)/1440)</f>
        <v>0</v>
      </c>
      <c r="AE59" s="18" t="n">
        <f aca="false">IF(J59=0,0,ROUND(X59*1440+J$3*60,0)/1440)</f>
        <v>0</v>
      </c>
      <c r="AF59" s="18" t="n">
        <f aca="false">IF(K59=0,0,ROUND(Y59*1440+K$3*60,0)/1440)</f>
        <v>0</v>
      </c>
      <c r="AG59" s="18" t="n">
        <f aca="false">IF(L59=0,0,ROUND(Z59*1440+L$3*60,0)/1440)</f>
        <v>0</v>
      </c>
      <c r="AH59" s="19" t="n">
        <f aca="false">SUMPRODUCT((MOD(AO$1:AU$1-0,7)&lt;Inputs!$B$6)*AO$2:AU$2*(AO58:AU58+1))*100+MOD(0-5,7)</f>
        <v>1602</v>
      </c>
      <c r="AI59" s="19" t="n">
        <f aca="false">SUMPRODUCT((MOD(AO$1:AU$1-1,7)&lt;Inputs!$B$6)*AO$2:AU$2*(AO58:AU58+1))*100+MOD(1-5,7)</f>
        <v>1403</v>
      </c>
      <c r="AJ59" s="19" t="n">
        <f aca="false">SUMPRODUCT((MOD(AO$1:AU$1-2,7)&lt;Inputs!$B$6)*AO$2:AU$2*(AO58:AU58+1))*100+MOD(2-5,7)</f>
        <v>1404</v>
      </c>
      <c r="AK59" s="19" t="n">
        <f aca="false">SUMPRODUCT((MOD(AO$1:AU$1-3,7)&lt;Inputs!$B$6)*AO$2:AU$2*(AO58:AU58+1))*100+MOD(3-5,7)</f>
        <v>1405</v>
      </c>
      <c r="AL59" s="19" t="n">
        <f aca="false">SUMPRODUCT((MOD(AO$1:AU$1-4,7)&lt;Inputs!$B$6)*AO$2:AU$2*(AO58:AU58+1))*100+MOD(4-5,7)</f>
        <v>1406</v>
      </c>
      <c r="AM59" s="19" t="n">
        <f aca="false">SUMPRODUCT((MOD(AO$1:AU$1-5,7)&lt;Inputs!$B$6)*AO$2:AU$2*(AO58:AU58+1))*100+MOD(5-5,7)</f>
        <v>1800</v>
      </c>
      <c r="AN59" s="19" t="n">
        <f aca="false">SUMPRODUCT((MOD(AO$1:AU$1-6,7)&lt;Inputs!$B$6)*AO$2:AU$2*(AO58:AU58+1))*100+MOD(6-5,7)</f>
        <v>1801</v>
      </c>
      <c r="AO59" s="19" t="n">
        <f aca="false">AO58+IF($B59=1,IF(MOD(0-$D59,7)&lt;Inputs!$B$6,1,0),0)</f>
        <v>3</v>
      </c>
      <c r="AP59" s="19" t="n">
        <f aca="false">AP58+IF($B59=1,IF(MOD(1-$D59,7)&lt;Inputs!$B$6,1,0),0)</f>
        <v>3</v>
      </c>
      <c r="AQ59" s="19" t="n">
        <f aca="false">AQ58+IF($B59=1,IF(MOD(2-$D59,7)&lt;Inputs!$B$6,1,0),0)</f>
        <v>2</v>
      </c>
      <c r="AR59" s="19" t="n">
        <f aca="false">AR58+IF($B59=1,IF(MOD(3-$D59,7)&lt;Inputs!$B$6,1,0),0)</f>
        <v>3</v>
      </c>
      <c r="AS59" s="19" t="n">
        <f aca="false">AS58+IF($B59=1,IF(MOD(4-$D59,7)&lt;Inputs!$B$6,1,0),0)</f>
        <v>2</v>
      </c>
      <c r="AT59" s="19" t="n">
        <f aca="false">AT58+IF($B59=1,IF(MOD(5-$D59,7)&lt;Inputs!$B$6,1,0),0)</f>
        <v>3</v>
      </c>
      <c r="AU59" s="19" t="n">
        <f aca="false">AU58+IF($B59=1,IF(MOD(6-$D59,7)&lt;Inputs!$B$6,1,0),0)</f>
        <v>4</v>
      </c>
    </row>
    <row r="60" customFormat="false" ht="15" hidden="false" customHeight="false" outlineLevel="0" collapsed="false">
      <c r="A60" s="0" t="n">
        <v>55</v>
      </c>
      <c r="B60" s="0" t="n">
        <f aca="false">IF(A60&lt;=Inputs!$B$3,1,0)</f>
        <v>0</v>
      </c>
      <c r="C60" s="0" t="n">
        <f aca="false">MOD(5+MOD(A60-1,7),7)</f>
        <v>3</v>
      </c>
      <c r="D60" s="0" t="n">
        <f aca="false">IF(Inputs!C77&lt;&gt;"",MATCH(Inputs!C77,Inputs!$A$11:$A$17,0)-1,IF(B60=0,0,MATCH(MIN(AH60:AN60),AH60:AN60,0)-1))</f>
        <v>0</v>
      </c>
      <c r="F60" s="0" t="n">
        <f aca="false">IF(OR($B60=0,F$3=0),0,IF(MOD(0-$D60,7)&lt;Inputs!$B$6,0,1))</f>
        <v>0</v>
      </c>
      <c r="G60" s="0" t="n">
        <f aca="false">IF(OR($B60=0,G$3=0),0,IF(MOD(1-$D60,7)&lt;Inputs!$B$6,0,1))</f>
        <v>0</v>
      </c>
      <c r="H60" s="0" t="n">
        <f aca="false">IF(OR($B60=0,H$3=0),0,IF(MOD(2-$D60,7)&lt;Inputs!$B$6,0,1))</f>
        <v>0</v>
      </c>
      <c r="I60" s="0" t="n">
        <f aca="false">IF(OR($B60=0,I$3=0),0,IF(MOD(3-$D60,7)&lt;Inputs!$B$6,0,1))</f>
        <v>0</v>
      </c>
      <c r="J60" s="0" t="n">
        <f aca="false">IF(OR($B60=0,J$3=0),0,IF(MOD(4-$D60,7)&lt;Inputs!$B$6,0,1))</f>
        <v>0</v>
      </c>
      <c r="K60" s="0" t="n">
        <f aca="false">IF(OR($B60=0,K$3=0),0,IF(MOD(5-$D60,7)&lt;Inputs!$B$6,0,1))</f>
        <v>0</v>
      </c>
      <c r="L60" s="0" t="n">
        <f aca="false">IF(OR($B60=0,L$3=0),0,IF(MOD(6-$D60,7)&lt;Inputs!$B$6,0,1))</f>
        <v>0</v>
      </c>
      <c r="M60" s="0" t="n">
        <f aca="false">SUM(F$6:F60)</f>
        <v>7</v>
      </c>
      <c r="N60" s="0" t="n">
        <f aca="false">SUM(G$6:G60)</f>
        <v>7</v>
      </c>
      <c r="O60" s="0" t="n">
        <f aca="false">SUM(H$6:H60)</f>
        <v>8</v>
      </c>
      <c r="P60" s="0" t="n">
        <f aca="false">SUM(I$6:I60)</f>
        <v>7</v>
      </c>
      <c r="Q60" s="0" t="n">
        <f aca="false">SUM(J$6:J60)</f>
        <v>8</v>
      </c>
      <c r="R60" s="0" t="n">
        <f aca="false">SUM(K$6:K60)</f>
        <v>7</v>
      </c>
      <c r="S60" s="0" t="n">
        <f aca="false">SUM(L$6:L60)</f>
        <v>6</v>
      </c>
      <c r="T60" s="18" t="n">
        <f aca="false">IF(F60=0,0,IF(Inputs!$D77="Open",F$1,IF(Inputs!$D77="Close",ROUND(F$2*1440-F$3*60,0)/1440,IF(OR(INT((M60-1)/Inputs!$B$7)=0,(INT((M$3-1-MOD(M60-1,Inputs!$B$7))/Inputs!$B$7)+1)&lt;=1),F$1,IF(INT((M60-1)/Inputs!$B$7)&gt;=(INT((M$3-1-MOD(M60-1,Inputs!$B$7))/Inputs!$B$7)+1)-1,ROUND(F$2*1440-F$3*60,0)/1440,MAX(F$1,MIN(ROUND(F$2*1440-F$3*60,0)/1440,ROUND((F$1+INT((M60-1)/Inputs!$B$7)/((INT((M$3-1-MOD(M60-1,Inputs!$B$7))/Inputs!$B$7)+1)-1)*((ROUND(F$2*1440-F$3*60,0)/1440)-F$1))*96,0)/96)))))))</f>
        <v>0</v>
      </c>
      <c r="U60" s="18" t="n">
        <f aca="false">IF(G60=0,0,IF(Inputs!$D77="Open",G$1,IF(Inputs!$D77="Close",ROUND(G$2*1440-G$3*60,0)/1440,IF(OR(INT((N60-1)/Inputs!$B$7)=0,(INT((N$3-1-MOD(N60-1,Inputs!$B$7))/Inputs!$B$7)+1)&lt;=1),G$1,IF(INT((N60-1)/Inputs!$B$7)&gt;=(INT((N$3-1-MOD(N60-1,Inputs!$B$7))/Inputs!$B$7)+1)-1,ROUND(G$2*1440-G$3*60,0)/1440,MAX(G$1,MIN(ROUND(G$2*1440-G$3*60,0)/1440,ROUND((G$1+INT((N60-1)/Inputs!$B$7)/((INT((N$3-1-MOD(N60-1,Inputs!$B$7))/Inputs!$B$7)+1)-1)*((ROUND(G$2*1440-G$3*60,0)/1440)-G$1))*96,0)/96)))))))</f>
        <v>0</v>
      </c>
      <c r="V60" s="18" t="n">
        <f aca="false">IF(H60=0,0,IF(Inputs!$D77="Open",H$1,IF(Inputs!$D77="Close",ROUND(H$2*1440-H$3*60,0)/1440,IF(OR(INT((O60-1)/Inputs!$B$7)=0,(INT((O$3-1-MOD(O60-1,Inputs!$B$7))/Inputs!$B$7)+1)&lt;=1),H$1,IF(INT((O60-1)/Inputs!$B$7)&gt;=(INT((O$3-1-MOD(O60-1,Inputs!$B$7))/Inputs!$B$7)+1)-1,ROUND(H$2*1440-H$3*60,0)/1440,MAX(H$1,MIN(ROUND(H$2*1440-H$3*60,0)/1440,ROUND((H$1+INT((O60-1)/Inputs!$B$7)/((INT((O$3-1-MOD(O60-1,Inputs!$B$7))/Inputs!$B$7)+1)-1)*((ROUND(H$2*1440-H$3*60,0)/1440)-H$1))*96,0)/96)))))))</f>
        <v>0</v>
      </c>
      <c r="W60" s="18" t="n">
        <f aca="false">IF(I60=0,0,IF(Inputs!$D77="Open",I$1,IF(Inputs!$D77="Close",ROUND(I$2*1440-I$3*60,0)/1440,IF(OR(INT((P60-1)/Inputs!$B$7)=0,(INT((P$3-1-MOD(P60-1,Inputs!$B$7))/Inputs!$B$7)+1)&lt;=1),I$1,IF(INT((P60-1)/Inputs!$B$7)&gt;=(INT((P$3-1-MOD(P60-1,Inputs!$B$7))/Inputs!$B$7)+1)-1,ROUND(I$2*1440-I$3*60,0)/1440,MAX(I$1,MIN(ROUND(I$2*1440-I$3*60,0)/1440,ROUND((I$1+INT((P60-1)/Inputs!$B$7)/((INT((P$3-1-MOD(P60-1,Inputs!$B$7))/Inputs!$B$7)+1)-1)*((ROUND(I$2*1440-I$3*60,0)/1440)-I$1))*96,0)/96)))))))</f>
        <v>0</v>
      </c>
      <c r="X60" s="18" t="n">
        <f aca="false">IF(J60=0,0,IF(Inputs!$D77="Open",J$1,IF(Inputs!$D77="Close",ROUND(J$2*1440-J$3*60,0)/1440,IF(OR(INT((Q60-1)/Inputs!$B$7)=0,(INT((Q$3-1-MOD(Q60-1,Inputs!$B$7))/Inputs!$B$7)+1)&lt;=1),J$1,IF(INT((Q60-1)/Inputs!$B$7)&gt;=(INT((Q$3-1-MOD(Q60-1,Inputs!$B$7))/Inputs!$B$7)+1)-1,ROUND(J$2*1440-J$3*60,0)/1440,MAX(J$1,MIN(ROUND(J$2*1440-J$3*60,0)/1440,ROUND((J$1+INT((Q60-1)/Inputs!$B$7)/((INT((Q$3-1-MOD(Q60-1,Inputs!$B$7))/Inputs!$B$7)+1)-1)*((ROUND(J$2*1440-J$3*60,0)/1440)-J$1))*96,0)/96)))))))</f>
        <v>0</v>
      </c>
      <c r="Y60" s="18" t="n">
        <f aca="false">IF(K60=0,0,IF(Inputs!$D77="Open",K$1,IF(Inputs!$D77="Close",ROUND(K$2*1440-K$3*60,0)/1440,IF(OR(INT((R60-1)/Inputs!$B$7)=0,(INT((R$3-1-MOD(R60-1,Inputs!$B$7))/Inputs!$B$7)+1)&lt;=1),K$1,IF(INT((R60-1)/Inputs!$B$7)&gt;=(INT((R$3-1-MOD(R60-1,Inputs!$B$7))/Inputs!$B$7)+1)-1,ROUND(K$2*1440-K$3*60,0)/1440,MAX(K$1,MIN(ROUND(K$2*1440-K$3*60,0)/1440,ROUND((K$1+INT((R60-1)/Inputs!$B$7)/((INT((R$3-1-MOD(R60-1,Inputs!$B$7))/Inputs!$B$7)+1)-1)*((ROUND(K$2*1440-K$3*60,0)/1440)-K$1))*96,0)/96)))))))</f>
        <v>0</v>
      </c>
      <c r="Z60" s="18" t="n">
        <f aca="false">IF(L60=0,0,IF(Inputs!$D77="Open",L$1,IF(Inputs!$D77="Close",ROUND(L$2*1440-L$3*60,0)/1440,IF(OR(INT((S60-1)/Inputs!$B$7)=0,(INT((S$3-1-MOD(S60-1,Inputs!$B$7))/Inputs!$B$7)+1)&lt;=1),L$1,IF(INT((S60-1)/Inputs!$B$7)&gt;=(INT((S$3-1-MOD(S60-1,Inputs!$B$7))/Inputs!$B$7)+1)-1,ROUND(L$2*1440-L$3*60,0)/1440,MAX(L$1,MIN(ROUND(L$2*1440-L$3*60,0)/1440,ROUND((L$1+INT((S60-1)/Inputs!$B$7)/((INT((S$3-1-MOD(S60-1,Inputs!$B$7))/Inputs!$B$7)+1)-1)*((ROUND(L$2*1440-L$3*60,0)/1440)-L$1))*96,0)/96)))))))</f>
        <v>0</v>
      </c>
      <c r="AA60" s="18" t="n">
        <f aca="false">IF(F60=0,0,ROUND(T60*1440+F$3*60,0)/1440)</f>
        <v>0</v>
      </c>
      <c r="AB60" s="18" t="n">
        <f aca="false">IF(G60=0,0,ROUND(U60*1440+G$3*60,0)/1440)</f>
        <v>0</v>
      </c>
      <c r="AC60" s="18" t="n">
        <f aca="false">IF(H60=0,0,ROUND(V60*1440+H$3*60,0)/1440)</f>
        <v>0</v>
      </c>
      <c r="AD60" s="18" t="n">
        <f aca="false">IF(I60=0,0,ROUND(W60*1440+I$3*60,0)/1440)</f>
        <v>0</v>
      </c>
      <c r="AE60" s="18" t="n">
        <f aca="false">IF(J60=0,0,ROUND(X60*1440+J$3*60,0)/1440)</f>
        <v>0</v>
      </c>
      <c r="AF60" s="18" t="n">
        <f aca="false">IF(K60=0,0,ROUND(Y60*1440+K$3*60,0)/1440)</f>
        <v>0</v>
      </c>
      <c r="AG60" s="18" t="n">
        <f aca="false">IF(L60=0,0,ROUND(Z60*1440+L$3*60,0)/1440)</f>
        <v>0</v>
      </c>
      <c r="AH60" s="19" t="n">
        <f aca="false">SUMPRODUCT((MOD(AO$1:AU$1-0,7)&lt;Inputs!$B$6)*AO$2:AU$2*(AO59:AU59+1))*100+MOD(0-5,7)</f>
        <v>1602</v>
      </c>
      <c r="AI60" s="19" t="n">
        <f aca="false">SUMPRODUCT((MOD(AO$1:AU$1-1,7)&lt;Inputs!$B$6)*AO$2:AU$2*(AO59:AU59+1))*100+MOD(1-5,7)</f>
        <v>1403</v>
      </c>
      <c r="AJ60" s="19" t="n">
        <f aca="false">SUMPRODUCT((MOD(AO$1:AU$1-2,7)&lt;Inputs!$B$6)*AO$2:AU$2*(AO59:AU59+1))*100+MOD(2-5,7)</f>
        <v>1404</v>
      </c>
      <c r="AK60" s="19" t="n">
        <f aca="false">SUMPRODUCT((MOD(AO$1:AU$1-3,7)&lt;Inputs!$B$6)*AO$2:AU$2*(AO59:AU59+1))*100+MOD(3-5,7)</f>
        <v>1405</v>
      </c>
      <c r="AL60" s="19" t="n">
        <f aca="false">SUMPRODUCT((MOD(AO$1:AU$1-4,7)&lt;Inputs!$B$6)*AO$2:AU$2*(AO59:AU59+1))*100+MOD(4-5,7)</f>
        <v>1406</v>
      </c>
      <c r="AM60" s="19" t="n">
        <f aca="false">SUMPRODUCT((MOD(AO$1:AU$1-5,7)&lt;Inputs!$B$6)*AO$2:AU$2*(AO59:AU59+1))*100+MOD(5-5,7)</f>
        <v>1800</v>
      </c>
      <c r="AN60" s="19" t="n">
        <f aca="false">SUMPRODUCT((MOD(AO$1:AU$1-6,7)&lt;Inputs!$B$6)*AO$2:AU$2*(AO59:AU59+1))*100+MOD(6-5,7)</f>
        <v>1801</v>
      </c>
      <c r="AO60" s="19" t="n">
        <f aca="false">AO59+IF($B60=1,IF(MOD(0-$D60,7)&lt;Inputs!$B$6,1,0),0)</f>
        <v>3</v>
      </c>
      <c r="AP60" s="19" t="n">
        <f aca="false">AP59+IF($B60=1,IF(MOD(1-$D60,7)&lt;Inputs!$B$6,1,0),0)</f>
        <v>3</v>
      </c>
      <c r="AQ60" s="19" t="n">
        <f aca="false">AQ59+IF($B60=1,IF(MOD(2-$D60,7)&lt;Inputs!$B$6,1,0),0)</f>
        <v>2</v>
      </c>
      <c r="AR60" s="19" t="n">
        <f aca="false">AR59+IF($B60=1,IF(MOD(3-$D60,7)&lt;Inputs!$B$6,1,0),0)</f>
        <v>3</v>
      </c>
      <c r="AS60" s="19" t="n">
        <f aca="false">AS59+IF($B60=1,IF(MOD(4-$D60,7)&lt;Inputs!$B$6,1,0),0)</f>
        <v>2</v>
      </c>
      <c r="AT60" s="19" t="n">
        <f aca="false">AT59+IF($B60=1,IF(MOD(5-$D60,7)&lt;Inputs!$B$6,1,0),0)</f>
        <v>3</v>
      </c>
      <c r="AU60" s="19" t="n">
        <f aca="false">AU59+IF($B60=1,IF(MOD(6-$D60,7)&lt;Inputs!$B$6,1,0),0)</f>
        <v>4</v>
      </c>
    </row>
    <row r="61" customFormat="false" ht="15" hidden="false" customHeight="false" outlineLevel="0" collapsed="false">
      <c r="A61" s="0" t="n">
        <v>56</v>
      </c>
      <c r="B61" s="0" t="n">
        <f aca="false">IF(A61&lt;=Inputs!$B$3,1,0)</f>
        <v>0</v>
      </c>
      <c r="C61" s="0" t="n">
        <f aca="false">MOD(5+MOD(A61-1,7),7)</f>
        <v>4</v>
      </c>
      <c r="D61" s="0" t="n">
        <f aca="false">IF(Inputs!C78&lt;&gt;"",MATCH(Inputs!C78,Inputs!$A$11:$A$17,0)-1,IF(B61=0,0,MATCH(MIN(AH61:AN61),AH61:AN61,0)-1))</f>
        <v>0</v>
      </c>
      <c r="F61" s="0" t="n">
        <f aca="false">IF(OR($B61=0,F$3=0),0,IF(MOD(0-$D61,7)&lt;Inputs!$B$6,0,1))</f>
        <v>0</v>
      </c>
      <c r="G61" s="0" t="n">
        <f aca="false">IF(OR($B61=0,G$3=0),0,IF(MOD(1-$D61,7)&lt;Inputs!$B$6,0,1))</f>
        <v>0</v>
      </c>
      <c r="H61" s="0" t="n">
        <f aca="false">IF(OR($B61=0,H$3=0),0,IF(MOD(2-$D61,7)&lt;Inputs!$B$6,0,1))</f>
        <v>0</v>
      </c>
      <c r="I61" s="0" t="n">
        <f aca="false">IF(OR($B61=0,I$3=0),0,IF(MOD(3-$D61,7)&lt;Inputs!$B$6,0,1))</f>
        <v>0</v>
      </c>
      <c r="J61" s="0" t="n">
        <f aca="false">IF(OR($B61=0,J$3=0),0,IF(MOD(4-$D61,7)&lt;Inputs!$B$6,0,1))</f>
        <v>0</v>
      </c>
      <c r="K61" s="0" t="n">
        <f aca="false">IF(OR($B61=0,K$3=0),0,IF(MOD(5-$D61,7)&lt;Inputs!$B$6,0,1))</f>
        <v>0</v>
      </c>
      <c r="L61" s="0" t="n">
        <f aca="false">IF(OR($B61=0,L$3=0),0,IF(MOD(6-$D61,7)&lt;Inputs!$B$6,0,1))</f>
        <v>0</v>
      </c>
      <c r="M61" s="0" t="n">
        <f aca="false">SUM(F$6:F61)</f>
        <v>7</v>
      </c>
      <c r="N61" s="0" t="n">
        <f aca="false">SUM(G$6:G61)</f>
        <v>7</v>
      </c>
      <c r="O61" s="0" t="n">
        <f aca="false">SUM(H$6:H61)</f>
        <v>8</v>
      </c>
      <c r="P61" s="0" t="n">
        <f aca="false">SUM(I$6:I61)</f>
        <v>7</v>
      </c>
      <c r="Q61" s="0" t="n">
        <f aca="false">SUM(J$6:J61)</f>
        <v>8</v>
      </c>
      <c r="R61" s="0" t="n">
        <f aca="false">SUM(K$6:K61)</f>
        <v>7</v>
      </c>
      <c r="S61" s="0" t="n">
        <f aca="false">SUM(L$6:L61)</f>
        <v>6</v>
      </c>
      <c r="T61" s="18" t="n">
        <f aca="false">IF(F61=0,0,IF(Inputs!$D78="Open",F$1,IF(Inputs!$D78="Close",ROUND(F$2*1440-F$3*60,0)/1440,IF(OR(INT((M61-1)/Inputs!$B$7)=0,(INT((M$3-1-MOD(M61-1,Inputs!$B$7))/Inputs!$B$7)+1)&lt;=1),F$1,IF(INT((M61-1)/Inputs!$B$7)&gt;=(INT((M$3-1-MOD(M61-1,Inputs!$B$7))/Inputs!$B$7)+1)-1,ROUND(F$2*1440-F$3*60,0)/1440,MAX(F$1,MIN(ROUND(F$2*1440-F$3*60,0)/1440,ROUND((F$1+INT((M61-1)/Inputs!$B$7)/((INT((M$3-1-MOD(M61-1,Inputs!$B$7))/Inputs!$B$7)+1)-1)*((ROUND(F$2*1440-F$3*60,0)/1440)-F$1))*96,0)/96)))))))</f>
        <v>0</v>
      </c>
      <c r="U61" s="18" t="n">
        <f aca="false">IF(G61=0,0,IF(Inputs!$D78="Open",G$1,IF(Inputs!$D78="Close",ROUND(G$2*1440-G$3*60,0)/1440,IF(OR(INT((N61-1)/Inputs!$B$7)=0,(INT((N$3-1-MOD(N61-1,Inputs!$B$7))/Inputs!$B$7)+1)&lt;=1),G$1,IF(INT((N61-1)/Inputs!$B$7)&gt;=(INT((N$3-1-MOD(N61-1,Inputs!$B$7))/Inputs!$B$7)+1)-1,ROUND(G$2*1440-G$3*60,0)/1440,MAX(G$1,MIN(ROUND(G$2*1440-G$3*60,0)/1440,ROUND((G$1+INT((N61-1)/Inputs!$B$7)/((INT((N$3-1-MOD(N61-1,Inputs!$B$7))/Inputs!$B$7)+1)-1)*((ROUND(G$2*1440-G$3*60,0)/1440)-G$1))*96,0)/96)))))))</f>
        <v>0</v>
      </c>
      <c r="V61" s="18" t="n">
        <f aca="false">IF(H61=0,0,IF(Inputs!$D78="Open",H$1,IF(Inputs!$D78="Close",ROUND(H$2*1440-H$3*60,0)/1440,IF(OR(INT((O61-1)/Inputs!$B$7)=0,(INT((O$3-1-MOD(O61-1,Inputs!$B$7))/Inputs!$B$7)+1)&lt;=1),H$1,IF(INT((O61-1)/Inputs!$B$7)&gt;=(INT((O$3-1-MOD(O61-1,Inputs!$B$7))/Inputs!$B$7)+1)-1,ROUND(H$2*1440-H$3*60,0)/1440,MAX(H$1,MIN(ROUND(H$2*1440-H$3*60,0)/1440,ROUND((H$1+INT((O61-1)/Inputs!$B$7)/((INT((O$3-1-MOD(O61-1,Inputs!$B$7))/Inputs!$B$7)+1)-1)*((ROUND(H$2*1440-H$3*60,0)/1440)-H$1))*96,0)/96)))))))</f>
        <v>0</v>
      </c>
      <c r="W61" s="18" t="n">
        <f aca="false">IF(I61=0,0,IF(Inputs!$D78="Open",I$1,IF(Inputs!$D78="Close",ROUND(I$2*1440-I$3*60,0)/1440,IF(OR(INT((P61-1)/Inputs!$B$7)=0,(INT((P$3-1-MOD(P61-1,Inputs!$B$7))/Inputs!$B$7)+1)&lt;=1),I$1,IF(INT((P61-1)/Inputs!$B$7)&gt;=(INT((P$3-1-MOD(P61-1,Inputs!$B$7))/Inputs!$B$7)+1)-1,ROUND(I$2*1440-I$3*60,0)/1440,MAX(I$1,MIN(ROUND(I$2*1440-I$3*60,0)/1440,ROUND((I$1+INT((P61-1)/Inputs!$B$7)/((INT((P$3-1-MOD(P61-1,Inputs!$B$7))/Inputs!$B$7)+1)-1)*((ROUND(I$2*1440-I$3*60,0)/1440)-I$1))*96,0)/96)))))))</f>
        <v>0</v>
      </c>
      <c r="X61" s="18" t="n">
        <f aca="false">IF(J61=0,0,IF(Inputs!$D78="Open",J$1,IF(Inputs!$D78="Close",ROUND(J$2*1440-J$3*60,0)/1440,IF(OR(INT((Q61-1)/Inputs!$B$7)=0,(INT((Q$3-1-MOD(Q61-1,Inputs!$B$7))/Inputs!$B$7)+1)&lt;=1),J$1,IF(INT((Q61-1)/Inputs!$B$7)&gt;=(INT((Q$3-1-MOD(Q61-1,Inputs!$B$7))/Inputs!$B$7)+1)-1,ROUND(J$2*1440-J$3*60,0)/1440,MAX(J$1,MIN(ROUND(J$2*1440-J$3*60,0)/1440,ROUND((J$1+INT((Q61-1)/Inputs!$B$7)/((INT((Q$3-1-MOD(Q61-1,Inputs!$B$7))/Inputs!$B$7)+1)-1)*((ROUND(J$2*1440-J$3*60,0)/1440)-J$1))*96,0)/96)))))))</f>
        <v>0</v>
      </c>
      <c r="Y61" s="18" t="n">
        <f aca="false">IF(K61=0,0,IF(Inputs!$D78="Open",K$1,IF(Inputs!$D78="Close",ROUND(K$2*1440-K$3*60,0)/1440,IF(OR(INT((R61-1)/Inputs!$B$7)=0,(INT((R$3-1-MOD(R61-1,Inputs!$B$7))/Inputs!$B$7)+1)&lt;=1),K$1,IF(INT((R61-1)/Inputs!$B$7)&gt;=(INT((R$3-1-MOD(R61-1,Inputs!$B$7))/Inputs!$B$7)+1)-1,ROUND(K$2*1440-K$3*60,0)/1440,MAX(K$1,MIN(ROUND(K$2*1440-K$3*60,0)/1440,ROUND((K$1+INT((R61-1)/Inputs!$B$7)/((INT((R$3-1-MOD(R61-1,Inputs!$B$7))/Inputs!$B$7)+1)-1)*((ROUND(K$2*1440-K$3*60,0)/1440)-K$1))*96,0)/96)))))))</f>
        <v>0</v>
      </c>
      <c r="Z61" s="18" t="n">
        <f aca="false">IF(L61=0,0,IF(Inputs!$D78="Open",L$1,IF(Inputs!$D78="Close",ROUND(L$2*1440-L$3*60,0)/1440,IF(OR(INT((S61-1)/Inputs!$B$7)=0,(INT((S$3-1-MOD(S61-1,Inputs!$B$7))/Inputs!$B$7)+1)&lt;=1),L$1,IF(INT((S61-1)/Inputs!$B$7)&gt;=(INT((S$3-1-MOD(S61-1,Inputs!$B$7))/Inputs!$B$7)+1)-1,ROUND(L$2*1440-L$3*60,0)/1440,MAX(L$1,MIN(ROUND(L$2*1440-L$3*60,0)/1440,ROUND((L$1+INT((S61-1)/Inputs!$B$7)/((INT((S$3-1-MOD(S61-1,Inputs!$B$7))/Inputs!$B$7)+1)-1)*((ROUND(L$2*1440-L$3*60,0)/1440)-L$1))*96,0)/96)))))))</f>
        <v>0</v>
      </c>
      <c r="AA61" s="18" t="n">
        <f aca="false">IF(F61=0,0,ROUND(T61*1440+F$3*60,0)/1440)</f>
        <v>0</v>
      </c>
      <c r="AB61" s="18" t="n">
        <f aca="false">IF(G61=0,0,ROUND(U61*1440+G$3*60,0)/1440)</f>
        <v>0</v>
      </c>
      <c r="AC61" s="18" t="n">
        <f aca="false">IF(H61=0,0,ROUND(V61*1440+H$3*60,0)/1440)</f>
        <v>0</v>
      </c>
      <c r="AD61" s="18" t="n">
        <f aca="false">IF(I61=0,0,ROUND(W61*1440+I$3*60,0)/1440)</f>
        <v>0</v>
      </c>
      <c r="AE61" s="18" t="n">
        <f aca="false">IF(J61=0,0,ROUND(X61*1440+J$3*60,0)/1440)</f>
        <v>0</v>
      </c>
      <c r="AF61" s="18" t="n">
        <f aca="false">IF(K61=0,0,ROUND(Y61*1440+K$3*60,0)/1440)</f>
        <v>0</v>
      </c>
      <c r="AG61" s="18" t="n">
        <f aca="false">IF(L61=0,0,ROUND(Z61*1440+L$3*60,0)/1440)</f>
        <v>0</v>
      </c>
      <c r="AH61" s="19" t="n">
        <f aca="false">SUMPRODUCT((MOD(AO$1:AU$1-0,7)&lt;Inputs!$B$6)*AO$2:AU$2*(AO60:AU60+1))*100+MOD(0-5,7)</f>
        <v>1602</v>
      </c>
      <c r="AI61" s="19" t="n">
        <f aca="false">SUMPRODUCT((MOD(AO$1:AU$1-1,7)&lt;Inputs!$B$6)*AO$2:AU$2*(AO60:AU60+1))*100+MOD(1-5,7)</f>
        <v>1403</v>
      </c>
      <c r="AJ61" s="19" t="n">
        <f aca="false">SUMPRODUCT((MOD(AO$1:AU$1-2,7)&lt;Inputs!$B$6)*AO$2:AU$2*(AO60:AU60+1))*100+MOD(2-5,7)</f>
        <v>1404</v>
      </c>
      <c r="AK61" s="19" t="n">
        <f aca="false">SUMPRODUCT((MOD(AO$1:AU$1-3,7)&lt;Inputs!$B$6)*AO$2:AU$2*(AO60:AU60+1))*100+MOD(3-5,7)</f>
        <v>1405</v>
      </c>
      <c r="AL61" s="19" t="n">
        <f aca="false">SUMPRODUCT((MOD(AO$1:AU$1-4,7)&lt;Inputs!$B$6)*AO$2:AU$2*(AO60:AU60+1))*100+MOD(4-5,7)</f>
        <v>1406</v>
      </c>
      <c r="AM61" s="19" t="n">
        <f aca="false">SUMPRODUCT((MOD(AO$1:AU$1-5,7)&lt;Inputs!$B$6)*AO$2:AU$2*(AO60:AU60+1))*100+MOD(5-5,7)</f>
        <v>1800</v>
      </c>
      <c r="AN61" s="19" t="n">
        <f aca="false">SUMPRODUCT((MOD(AO$1:AU$1-6,7)&lt;Inputs!$B$6)*AO$2:AU$2*(AO60:AU60+1))*100+MOD(6-5,7)</f>
        <v>1801</v>
      </c>
      <c r="AO61" s="19" t="n">
        <f aca="false">AO60+IF($B61=1,IF(MOD(0-$D61,7)&lt;Inputs!$B$6,1,0),0)</f>
        <v>3</v>
      </c>
      <c r="AP61" s="19" t="n">
        <f aca="false">AP60+IF($B61=1,IF(MOD(1-$D61,7)&lt;Inputs!$B$6,1,0),0)</f>
        <v>3</v>
      </c>
      <c r="AQ61" s="19" t="n">
        <f aca="false">AQ60+IF($B61=1,IF(MOD(2-$D61,7)&lt;Inputs!$B$6,1,0),0)</f>
        <v>2</v>
      </c>
      <c r="AR61" s="19" t="n">
        <f aca="false">AR60+IF($B61=1,IF(MOD(3-$D61,7)&lt;Inputs!$B$6,1,0),0)</f>
        <v>3</v>
      </c>
      <c r="AS61" s="19" t="n">
        <f aca="false">AS60+IF($B61=1,IF(MOD(4-$D61,7)&lt;Inputs!$B$6,1,0),0)</f>
        <v>2</v>
      </c>
      <c r="AT61" s="19" t="n">
        <f aca="false">AT60+IF($B61=1,IF(MOD(5-$D61,7)&lt;Inputs!$B$6,1,0),0)</f>
        <v>3</v>
      </c>
      <c r="AU61" s="19" t="n">
        <f aca="false">AU60+IF($B61=1,IF(MOD(6-$D61,7)&lt;Inputs!$B$6,1,0),0)</f>
        <v>4</v>
      </c>
    </row>
    <row r="62" customFormat="false" ht="15" hidden="false" customHeight="false" outlineLevel="0" collapsed="false">
      <c r="A62" s="0" t="n">
        <v>57</v>
      </c>
      <c r="B62" s="0" t="n">
        <f aca="false">IF(A62&lt;=Inputs!$B$3,1,0)</f>
        <v>0</v>
      </c>
      <c r="C62" s="0" t="n">
        <f aca="false">MOD(5+MOD(A62-1,7),7)</f>
        <v>5</v>
      </c>
      <c r="D62" s="0" t="n">
        <f aca="false">IF(Inputs!C79&lt;&gt;"",MATCH(Inputs!C79,Inputs!$A$11:$A$17,0)-1,IF(B62=0,0,MATCH(MIN(AH62:AN62),AH62:AN62,0)-1))</f>
        <v>0</v>
      </c>
      <c r="F62" s="0" t="n">
        <f aca="false">IF(OR($B62=0,F$3=0),0,IF(MOD(0-$D62,7)&lt;Inputs!$B$6,0,1))</f>
        <v>0</v>
      </c>
      <c r="G62" s="0" t="n">
        <f aca="false">IF(OR($B62=0,G$3=0),0,IF(MOD(1-$D62,7)&lt;Inputs!$B$6,0,1))</f>
        <v>0</v>
      </c>
      <c r="H62" s="0" t="n">
        <f aca="false">IF(OR($B62=0,H$3=0),0,IF(MOD(2-$D62,7)&lt;Inputs!$B$6,0,1))</f>
        <v>0</v>
      </c>
      <c r="I62" s="0" t="n">
        <f aca="false">IF(OR($B62=0,I$3=0),0,IF(MOD(3-$D62,7)&lt;Inputs!$B$6,0,1))</f>
        <v>0</v>
      </c>
      <c r="J62" s="0" t="n">
        <f aca="false">IF(OR($B62=0,J$3=0),0,IF(MOD(4-$D62,7)&lt;Inputs!$B$6,0,1))</f>
        <v>0</v>
      </c>
      <c r="K62" s="0" t="n">
        <f aca="false">IF(OR($B62=0,K$3=0),0,IF(MOD(5-$D62,7)&lt;Inputs!$B$6,0,1))</f>
        <v>0</v>
      </c>
      <c r="L62" s="0" t="n">
        <f aca="false">IF(OR($B62=0,L$3=0),0,IF(MOD(6-$D62,7)&lt;Inputs!$B$6,0,1))</f>
        <v>0</v>
      </c>
      <c r="M62" s="0" t="n">
        <f aca="false">SUM(F$6:F62)</f>
        <v>7</v>
      </c>
      <c r="N62" s="0" t="n">
        <f aca="false">SUM(G$6:G62)</f>
        <v>7</v>
      </c>
      <c r="O62" s="0" t="n">
        <f aca="false">SUM(H$6:H62)</f>
        <v>8</v>
      </c>
      <c r="P62" s="0" t="n">
        <f aca="false">SUM(I$6:I62)</f>
        <v>7</v>
      </c>
      <c r="Q62" s="0" t="n">
        <f aca="false">SUM(J$6:J62)</f>
        <v>8</v>
      </c>
      <c r="R62" s="0" t="n">
        <f aca="false">SUM(K$6:K62)</f>
        <v>7</v>
      </c>
      <c r="S62" s="0" t="n">
        <f aca="false">SUM(L$6:L62)</f>
        <v>6</v>
      </c>
      <c r="T62" s="18" t="n">
        <f aca="false">IF(F62=0,0,IF(Inputs!$D79="Open",F$1,IF(Inputs!$D79="Close",ROUND(F$2*1440-F$3*60,0)/1440,IF(OR(INT((M62-1)/Inputs!$B$7)=0,(INT((M$3-1-MOD(M62-1,Inputs!$B$7))/Inputs!$B$7)+1)&lt;=1),F$1,IF(INT((M62-1)/Inputs!$B$7)&gt;=(INT((M$3-1-MOD(M62-1,Inputs!$B$7))/Inputs!$B$7)+1)-1,ROUND(F$2*1440-F$3*60,0)/1440,MAX(F$1,MIN(ROUND(F$2*1440-F$3*60,0)/1440,ROUND((F$1+INT((M62-1)/Inputs!$B$7)/((INT((M$3-1-MOD(M62-1,Inputs!$B$7))/Inputs!$B$7)+1)-1)*((ROUND(F$2*1440-F$3*60,0)/1440)-F$1))*96,0)/96)))))))</f>
        <v>0</v>
      </c>
      <c r="U62" s="18" t="n">
        <f aca="false">IF(G62=0,0,IF(Inputs!$D79="Open",G$1,IF(Inputs!$D79="Close",ROUND(G$2*1440-G$3*60,0)/1440,IF(OR(INT((N62-1)/Inputs!$B$7)=0,(INT((N$3-1-MOD(N62-1,Inputs!$B$7))/Inputs!$B$7)+1)&lt;=1),G$1,IF(INT((N62-1)/Inputs!$B$7)&gt;=(INT((N$3-1-MOD(N62-1,Inputs!$B$7))/Inputs!$B$7)+1)-1,ROUND(G$2*1440-G$3*60,0)/1440,MAX(G$1,MIN(ROUND(G$2*1440-G$3*60,0)/1440,ROUND((G$1+INT((N62-1)/Inputs!$B$7)/((INT((N$3-1-MOD(N62-1,Inputs!$B$7))/Inputs!$B$7)+1)-1)*((ROUND(G$2*1440-G$3*60,0)/1440)-G$1))*96,0)/96)))))))</f>
        <v>0</v>
      </c>
      <c r="V62" s="18" t="n">
        <f aca="false">IF(H62=0,0,IF(Inputs!$D79="Open",H$1,IF(Inputs!$D79="Close",ROUND(H$2*1440-H$3*60,0)/1440,IF(OR(INT((O62-1)/Inputs!$B$7)=0,(INT((O$3-1-MOD(O62-1,Inputs!$B$7))/Inputs!$B$7)+1)&lt;=1),H$1,IF(INT((O62-1)/Inputs!$B$7)&gt;=(INT((O$3-1-MOD(O62-1,Inputs!$B$7))/Inputs!$B$7)+1)-1,ROUND(H$2*1440-H$3*60,0)/1440,MAX(H$1,MIN(ROUND(H$2*1440-H$3*60,0)/1440,ROUND((H$1+INT((O62-1)/Inputs!$B$7)/((INT((O$3-1-MOD(O62-1,Inputs!$B$7))/Inputs!$B$7)+1)-1)*((ROUND(H$2*1440-H$3*60,0)/1440)-H$1))*96,0)/96)))))))</f>
        <v>0</v>
      </c>
      <c r="W62" s="18" t="n">
        <f aca="false">IF(I62=0,0,IF(Inputs!$D79="Open",I$1,IF(Inputs!$D79="Close",ROUND(I$2*1440-I$3*60,0)/1440,IF(OR(INT((P62-1)/Inputs!$B$7)=0,(INT((P$3-1-MOD(P62-1,Inputs!$B$7))/Inputs!$B$7)+1)&lt;=1),I$1,IF(INT((P62-1)/Inputs!$B$7)&gt;=(INT((P$3-1-MOD(P62-1,Inputs!$B$7))/Inputs!$B$7)+1)-1,ROUND(I$2*1440-I$3*60,0)/1440,MAX(I$1,MIN(ROUND(I$2*1440-I$3*60,0)/1440,ROUND((I$1+INT((P62-1)/Inputs!$B$7)/((INT((P$3-1-MOD(P62-1,Inputs!$B$7))/Inputs!$B$7)+1)-1)*((ROUND(I$2*1440-I$3*60,0)/1440)-I$1))*96,0)/96)))))))</f>
        <v>0</v>
      </c>
      <c r="X62" s="18" t="n">
        <f aca="false">IF(J62=0,0,IF(Inputs!$D79="Open",J$1,IF(Inputs!$D79="Close",ROUND(J$2*1440-J$3*60,0)/1440,IF(OR(INT((Q62-1)/Inputs!$B$7)=0,(INT((Q$3-1-MOD(Q62-1,Inputs!$B$7))/Inputs!$B$7)+1)&lt;=1),J$1,IF(INT((Q62-1)/Inputs!$B$7)&gt;=(INT((Q$3-1-MOD(Q62-1,Inputs!$B$7))/Inputs!$B$7)+1)-1,ROUND(J$2*1440-J$3*60,0)/1440,MAX(J$1,MIN(ROUND(J$2*1440-J$3*60,0)/1440,ROUND((J$1+INT((Q62-1)/Inputs!$B$7)/((INT((Q$3-1-MOD(Q62-1,Inputs!$B$7))/Inputs!$B$7)+1)-1)*((ROUND(J$2*1440-J$3*60,0)/1440)-J$1))*96,0)/96)))))))</f>
        <v>0</v>
      </c>
      <c r="Y62" s="18" t="n">
        <f aca="false">IF(K62=0,0,IF(Inputs!$D79="Open",K$1,IF(Inputs!$D79="Close",ROUND(K$2*1440-K$3*60,0)/1440,IF(OR(INT((R62-1)/Inputs!$B$7)=0,(INT((R$3-1-MOD(R62-1,Inputs!$B$7))/Inputs!$B$7)+1)&lt;=1),K$1,IF(INT((R62-1)/Inputs!$B$7)&gt;=(INT((R$3-1-MOD(R62-1,Inputs!$B$7))/Inputs!$B$7)+1)-1,ROUND(K$2*1440-K$3*60,0)/1440,MAX(K$1,MIN(ROUND(K$2*1440-K$3*60,0)/1440,ROUND((K$1+INT((R62-1)/Inputs!$B$7)/((INT((R$3-1-MOD(R62-1,Inputs!$B$7))/Inputs!$B$7)+1)-1)*((ROUND(K$2*1440-K$3*60,0)/1440)-K$1))*96,0)/96)))))))</f>
        <v>0</v>
      </c>
      <c r="Z62" s="18" t="n">
        <f aca="false">IF(L62=0,0,IF(Inputs!$D79="Open",L$1,IF(Inputs!$D79="Close",ROUND(L$2*1440-L$3*60,0)/1440,IF(OR(INT((S62-1)/Inputs!$B$7)=0,(INT((S$3-1-MOD(S62-1,Inputs!$B$7))/Inputs!$B$7)+1)&lt;=1),L$1,IF(INT((S62-1)/Inputs!$B$7)&gt;=(INT((S$3-1-MOD(S62-1,Inputs!$B$7))/Inputs!$B$7)+1)-1,ROUND(L$2*1440-L$3*60,0)/1440,MAX(L$1,MIN(ROUND(L$2*1440-L$3*60,0)/1440,ROUND((L$1+INT((S62-1)/Inputs!$B$7)/((INT((S$3-1-MOD(S62-1,Inputs!$B$7))/Inputs!$B$7)+1)-1)*((ROUND(L$2*1440-L$3*60,0)/1440)-L$1))*96,0)/96)))))))</f>
        <v>0</v>
      </c>
      <c r="AA62" s="18" t="n">
        <f aca="false">IF(F62=0,0,ROUND(T62*1440+F$3*60,0)/1440)</f>
        <v>0</v>
      </c>
      <c r="AB62" s="18" t="n">
        <f aca="false">IF(G62=0,0,ROUND(U62*1440+G$3*60,0)/1440)</f>
        <v>0</v>
      </c>
      <c r="AC62" s="18" t="n">
        <f aca="false">IF(H62=0,0,ROUND(V62*1440+H$3*60,0)/1440)</f>
        <v>0</v>
      </c>
      <c r="AD62" s="18" t="n">
        <f aca="false">IF(I62=0,0,ROUND(W62*1440+I$3*60,0)/1440)</f>
        <v>0</v>
      </c>
      <c r="AE62" s="18" t="n">
        <f aca="false">IF(J62=0,0,ROUND(X62*1440+J$3*60,0)/1440)</f>
        <v>0</v>
      </c>
      <c r="AF62" s="18" t="n">
        <f aca="false">IF(K62=0,0,ROUND(Y62*1440+K$3*60,0)/1440)</f>
        <v>0</v>
      </c>
      <c r="AG62" s="18" t="n">
        <f aca="false">IF(L62=0,0,ROUND(Z62*1440+L$3*60,0)/1440)</f>
        <v>0</v>
      </c>
      <c r="AH62" s="19" t="n">
        <f aca="false">SUMPRODUCT((MOD(AO$1:AU$1-0,7)&lt;Inputs!$B$6)*AO$2:AU$2*(AO61:AU61+1))*100+MOD(0-5,7)</f>
        <v>1602</v>
      </c>
      <c r="AI62" s="19" t="n">
        <f aca="false">SUMPRODUCT((MOD(AO$1:AU$1-1,7)&lt;Inputs!$B$6)*AO$2:AU$2*(AO61:AU61+1))*100+MOD(1-5,7)</f>
        <v>1403</v>
      </c>
      <c r="AJ62" s="19" t="n">
        <f aca="false">SUMPRODUCT((MOD(AO$1:AU$1-2,7)&lt;Inputs!$B$6)*AO$2:AU$2*(AO61:AU61+1))*100+MOD(2-5,7)</f>
        <v>1404</v>
      </c>
      <c r="AK62" s="19" t="n">
        <f aca="false">SUMPRODUCT((MOD(AO$1:AU$1-3,7)&lt;Inputs!$B$6)*AO$2:AU$2*(AO61:AU61+1))*100+MOD(3-5,7)</f>
        <v>1405</v>
      </c>
      <c r="AL62" s="19" t="n">
        <f aca="false">SUMPRODUCT((MOD(AO$1:AU$1-4,7)&lt;Inputs!$B$6)*AO$2:AU$2*(AO61:AU61+1))*100+MOD(4-5,7)</f>
        <v>1406</v>
      </c>
      <c r="AM62" s="19" t="n">
        <f aca="false">SUMPRODUCT((MOD(AO$1:AU$1-5,7)&lt;Inputs!$B$6)*AO$2:AU$2*(AO61:AU61+1))*100+MOD(5-5,7)</f>
        <v>1800</v>
      </c>
      <c r="AN62" s="19" t="n">
        <f aca="false">SUMPRODUCT((MOD(AO$1:AU$1-6,7)&lt;Inputs!$B$6)*AO$2:AU$2*(AO61:AU61+1))*100+MOD(6-5,7)</f>
        <v>1801</v>
      </c>
      <c r="AO62" s="19" t="n">
        <f aca="false">AO61+IF($B62=1,IF(MOD(0-$D62,7)&lt;Inputs!$B$6,1,0),0)</f>
        <v>3</v>
      </c>
      <c r="AP62" s="19" t="n">
        <f aca="false">AP61+IF($B62=1,IF(MOD(1-$D62,7)&lt;Inputs!$B$6,1,0),0)</f>
        <v>3</v>
      </c>
      <c r="AQ62" s="19" t="n">
        <f aca="false">AQ61+IF($B62=1,IF(MOD(2-$D62,7)&lt;Inputs!$B$6,1,0),0)</f>
        <v>2</v>
      </c>
      <c r="AR62" s="19" t="n">
        <f aca="false">AR61+IF($B62=1,IF(MOD(3-$D62,7)&lt;Inputs!$B$6,1,0),0)</f>
        <v>3</v>
      </c>
      <c r="AS62" s="19" t="n">
        <f aca="false">AS61+IF($B62=1,IF(MOD(4-$D62,7)&lt;Inputs!$B$6,1,0),0)</f>
        <v>2</v>
      </c>
      <c r="AT62" s="19" t="n">
        <f aca="false">AT61+IF($B62=1,IF(MOD(5-$D62,7)&lt;Inputs!$B$6,1,0),0)</f>
        <v>3</v>
      </c>
      <c r="AU62" s="19" t="n">
        <f aca="false">AU61+IF($B62=1,IF(MOD(6-$D62,7)&lt;Inputs!$B$6,1,0),0)</f>
        <v>4</v>
      </c>
    </row>
    <row r="63" customFormat="false" ht="15" hidden="false" customHeight="false" outlineLevel="0" collapsed="false">
      <c r="A63" s="0" t="n">
        <v>58</v>
      </c>
      <c r="B63" s="0" t="n">
        <f aca="false">IF(A63&lt;=Inputs!$B$3,1,0)</f>
        <v>0</v>
      </c>
      <c r="C63" s="0" t="n">
        <f aca="false">MOD(5+MOD(A63-1,7),7)</f>
        <v>6</v>
      </c>
      <c r="D63" s="0" t="n">
        <f aca="false">IF(Inputs!C80&lt;&gt;"",MATCH(Inputs!C80,Inputs!$A$11:$A$17,0)-1,IF(B63=0,0,MATCH(MIN(AH63:AN63),AH63:AN63,0)-1))</f>
        <v>0</v>
      </c>
      <c r="F63" s="0" t="n">
        <f aca="false">IF(OR($B63=0,F$3=0),0,IF(MOD(0-$D63,7)&lt;Inputs!$B$6,0,1))</f>
        <v>0</v>
      </c>
      <c r="G63" s="0" t="n">
        <f aca="false">IF(OR($B63=0,G$3=0),0,IF(MOD(1-$D63,7)&lt;Inputs!$B$6,0,1))</f>
        <v>0</v>
      </c>
      <c r="H63" s="0" t="n">
        <f aca="false">IF(OR($B63=0,H$3=0),0,IF(MOD(2-$D63,7)&lt;Inputs!$B$6,0,1))</f>
        <v>0</v>
      </c>
      <c r="I63" s="0" t="n">
        <f aca="false">IF(OR($B63=0,I$3=0),0,IF(MOD(3-$D63,7)&lt;Inputs!$B$6,0,1))</f>
        <v>0</v>
      </c>
      <c r="J63" s="0" t="n">
        <f aca="false">IF(OR($B63=0,J$3=0),0,IF(MOD(4-$D63,7)&lt;Inputs!$B$6,0,1))</f>
        <v>0</v>
      </c>
      <c r="K63" s="0" t="n">
        <f aca="false">IF(OR($B63=0,K$3=0),0,IF(MOD(5-$D63,7)&lt;Inputs!$B$6,0,1))</f>
        <v>0</v>
      </c>
      <c r="L63" s="0" t="n">
        <f aca="false">IF(OR($B63=0,L$3=0),0,IF(MOD(6-$D63,7)&lt;Inputs!$B$6,0,1))</f>
        <v>0</v>
      </c>
      <c r="M63" s="0" t="n">
        <f aca="false">SUM(F$6:F63)</f>
        <v>7</v>
      </c>
      <c r="N63" s="0" t="n">
        <f aca="false">SUM(G$6:G63)</f>
        <v>7</v>
      </c>
      <c r="O63" s="0" t="n">
        <f aca="false">SUM(H$6:H63)</f>
        <v>8</v>
      </c>
      <c r="P63" s="0" t="n">
        <f aca="false">SUM(I$6:I63)</f>
        <v>7</v>
      </c>
      <c r="Q63" s="0" t="n">
        <f aca="false">SUM(J$6:J63)</f>
        <v>8</v>
      </c>
      <c r="R63" s="0" t="n">
        <f aca="false">SUM(K$6:K63)</f>
        <v>7</v>
      </c>
      <c r="S63" s="0" t="n">
        <f aca="false">SUM(L$6:L63)</f>
        <v>6</v>
      </c>
      <c r="T63" s="18" t="n">
        <f aca="false">IF(F63=0,0,IF(Inputs!$D80="Open",F$1,IF(Inputs!$D80="Close",ROUND(F$2*1440-F$3*60,0)/1440,IF(OR(INT((M63-1)/Inputs!$B$7)=0,(INT((M$3-1-MOD(M63-1,Inputs!$B$7))/Inputs!$B$7)+1)&lt;=1),F$1,IF(INT((M63-1)/Inputs!$B$7)&gt;=(INT((M$3-1-MOD(M63-1,Inputs!$B$7))/Inputs!$B$7)+1)-1,ROUND(F$2*1440-F$3*60,0)/1440,MAX(F$1,MIN(ROUND(F$2*1440-F$3*60,0)/1440,ROUND((F$1+INT((M63-1)/Inputs!$B$7)/((INT((M$3-1-MOD(M63-1,Inputs!$B$7))/Inputs!$B$7)+1)-1)*((ROUND(F$2*1440-F$3*60,0)/1440)-F$1))*96,0)/96)))))))</f>
        <v>0</v>
      </c>
      <c r="U63" s="18" t="n">
        <f aca="false">IF(G63=0,0,IF(Inputs!$D80="Open",G$1,IF(Inputs!$D80="Close",ROUND(G$2*1440-G$3*60,0)/1440,IF(OR(INT((N63-1)/Inputs!$B$7)=0,(INT((N$3-1-MOD(N63-1,Inputs!$B$7))/Inputs!$B$7)+1)&lt;=1),G$1,IF(INT((N63-1)/Inputs!$B$7)&gt;=(INT((N$3-1-MOD(N63-1,Inputs!$B$7))/Inputs!$B$7)+1)-1,ROUND(G$2*1440-G$3*60,0)/1440,MAX(G$1,MIN(ROUND(G$2*1440-G$3*60,0)/1440,ROUND((G$1+INT((N63-1)/Inputs!$B$7)/((INT((N$3-1-MOD(N63-1,Inputs!$B$7))/Inputs!$B$7)+1)-1)*((ROUND(G$2*1440-G$3*60,0)/1440)-G$1))*96,0)/96)))))))</f>
        <v>0</v>
      </c>
      <c r="V63" s="18" t="n">
        <f aca="false">IF(H63=0,0,IF(Inputs!$D80="Open",H$1,IF(Inputs!$D80="Close",ROUND(H$2*1440-H$3*60,0)/1440,IF(OR(INT((O63-1)/Inputs!$B$7)=0,(INT((O$3-1-MOD(O63-1,Inputs!$B$7))/Inputs!$B$7)+1)&lt;=1),H$1,IF(INT((O63-1)/Inputs!$B$7)&gt;=(INT((O$3-1-MOD(O63-1,Inputs!$B$7))/Inputs!$B$7)+1)-1,ROUND(H$2*1440-H$3*60,0)/1440,MAX(H$1,MIN(ROUND(H$2*1440-H$3*60,0)/1440,ROUND((H$1+INT((O63-1)/Inputs!$B$7)/((INT((O$3-1-MOD(O63-1,Inputs!$B$7))/Inputs!$B$7)+1)-1)*((ROUND(H$2*1440-H$3*60,0)/1440)-H$1))*96,0)/96)))))))</f>
        <v>0</v>
      </c>
      <c r="W63" s="18" t="n">
        <f aca="false">IF(I63=0,0,IF(Inputs!$D80="Open",I$1,IF(Inputs!$D80="Close",ROUND(I$2*1440-I$3*60,0)/1440,IF(OR(INT((P63-1)/Inputs!$B$7)=0,(INT((P$3-1-MOD(P63-1,Inputs!$B$7))/Inputs!$B$7)+1)&lt;=1),I$1,IF(INT((P63-1)/Inputs!$B$7)&gt;=(INT((P$3-1-MOD(P63-1,Inputs!$B$7))/Inputs!$B$7)+1)-1,ROUND(I$2*1440-I$3*60,0)/1440,MAX(I$1,MIN(ROUND(I$2*1440-I$3*60,0)/1440,ROUND((I$1+INT((P63-1)/Inputs!$B$7)/((INT((P$3-1-MOD(P63-1,Inputs!$B$7))/Inputs!$B$7)+1)-1)*((ROUND(I$2*1440-I$3*60,0)/1440)-I$1))*96,0)/96)))))))</f>
        <v>0</v>
      </c>
      <c r="X63" s="18" t="n">
        <f aca="false">IF(J63=0,0,IF(Inputs!$D80="Open",J$1,IF(Inputs!$D80="Close",ROUND(J$2*1440-J$3*60,0)/1440,IF(OR(INT((Q63-1)/Inputs!$B$7)=0,(INT((Q$3-1-MOD(Q63-1,Inputs!$B$7))/Inputs!$B$7)+1)&lt;=1),J$1,IF(INT((Q63-1)/Inputs!$B$7)&gt;=(INT((Q$3-1-MOD(Q63-1,Inputs!$B$7))/Inputs!$B$7)+1)-1,ROUND(J$2*1440-J$3*60,0)/1440,MAX(J$1,MIN(ROUND(J$2*1440-J$3*60,0)/1440,ROUND((J$1+INT((Q63-1)/Inputs!$B$7)/((INT((Q$3-1-MOD(Q63-1,Inputs!$B$7))/Inputs!$B$7)+1)-1)*((ROUND(J$2*1440-J$3*60,0)/1440)-J$1))*96,0)/96)))))))</f>
        <v>0</v>
      </c>
      <c r="Y63" s="18" t="n">
        <f aca="false">IF(K63=0,0,IF(Inputs!$D80="Open",K$1,IF(Inputs!$D80="Close",ROUND(K$2*1440-K$3*60,0)/1440,IF(OR(INT((R63-1)/Inputs!$B$7)=0,(INT((R$3-1-MOD(R63-1,Inputs!$B$7))/Inputs!$B$7)+1)&lt;=1),K$1,IF(INT((R63-1)/Inputs!$B$7)&gt;=(INT((R$3-1-MOD(R63-1,Inputs!$B$7))/Inputs!$B$7)+1)-1,ROUND(K$2*1440-K$3*60,0)/1440,MAX(K$1,MIN(ROUND(K$2*1440-K$3*60,0)/1440,ROUND((K$1+INT((R63-1)/Inputs!$B$7)/((INT((R$3-1-MOD(R63-1,Inputs!$B$7))/Inputs!$B$7)+1)-1)*((ROUND(K$2*1440-K$3*60,0)/1440)-K$1))*96,0)/96)))))))</f>
        <v>0</v>
      </c>
      <c r="Z63" s="18" t="n">
        <f aca="false">IF(L63=0,0,IF(Inputs!$D80="Open",L$1,IF(Inputs!$D80="Close",ROUND(L$2*1440-L$3*60,0)/1440,IF(OR(INT((S63-1)/Inputs!$B$7)=0,(INT((S$3-1-MOD(S63-1,Inputs!$B$7))/Inputs!$B$7)+1)&lt;=1),L$1,IF(INT((S63-1)/Inputs!$B$7)&gt;=(INT((S$3-1-MOD(S63-1,Inputs!$B$7))/Inputs!$B$7)+1)-1,ROUND(L$2*1440-L$3*60,0)/1440,MAX(L$1,MIN(ROUND(L$2*1440-L$3*60,0)/1440,ROUND((L$1+INT((S63-1)/Inputs!$B$7)/((INT((S$3-1-MOD(S63-1,Inputs!$B$7))/Inputs!$B$7)+1)-1)*((ROUND(L$2*1440-L$3*60,0)/1440)-L$1))*96,0)/96)))))))</f>
        <v>0</v>
      </c>
      <c r="AA63" s="18" t="n">
        <f aca="false">IF(F63=0,0,ROUND(T63*1440+F$3*60,0)/1440)</f>
        <v>0</v>
      </c>
      <c r="AB63" s="18" t="n">
        <f aca="false">IF(G63=0,0,ROUND(U63*1440+G$3*60,0)/1440)</f>
        <v>0</v>
      </c>
      <c r="AC63" s="18" t="n">
        <f aca="false">IF(H63=0,0,ROUND(V63*1440+H$3*60,0)/1440)</f>
        <v>0</v>
      </c>
      <c r="AD63" s="18" t="n">
        <f aca="false">IF(I63=0,0,ROUND(W63*1440+I$3*60,0)/1440)</f>
        <v>0</v>
      </c>
      <c r="AE63" s="18" t="n">
        <f aca="false">IF(J63=0,0,ROUND(X63*1440+J$3*60,0)/1440)</f>
        <v>0</v>
      </c>
      <c r="AF63" s="18" t="n">
        <f aca="false">IF(K63=0,0,ROUND(Y63*1440+K$3*60,0)/1440)</f>
        <v>0</v>
      </c>
      <c r="AG63" s="18" t="n">
        <f aca="false">IF(L63=0,0,ROUND(Z63*1440+L$3*60,0)/1440)</f>
        <v>0</v>
      </c>
      <c r="AH63" s="19" t="n">
        <f aca="false">SUMPRODUCT((MOD(AO$1:AU$1-0,7)&lt;Inputs!$B$6)*AO$2:AU$2*(AO62:AU62+1))*100+MOD(0-5,7)</f>
        <v>1602</v>
      </c>
      <c r="AI63" s="19" t="n">
        <f aca="false">SUMPRODUCT((MOD(AO$1:AU$1-1,7)&lt;Inputs!$B$6)*AO$2:AU$2*(AO62:AU62+1))*100+MOD(1-5,7)</f>
        <v>1403</v>
      </c>
      <c r="AJ63" s="19" t="n">
        <f aca="false">SUMPRODUCT((MOD(AO$1:AU$1-2,7)&lt;Inputs!$B$6)*AO$2:AU$2*(AO62:AU62+1))*100+MOD(2-5,7)</f>
        <v>1404</v>
      </c>
      <c r="AK63" s="19" t="n">
        <f aca="false">SUMPRODUCT((MOD(AO$1:AU$1-3,7)&lt;Inputs!$B$6)*AO$2:AU$2*(AO62:AU62+1))*100+MOD(3-5,7)</f>
        <v>1405</v>
      </c>
      <c r="AL63" s="19" t="n">
        <f aca="false">SUMPRODUCT((MOD(AO$1:AU$1-4,7)&lt;Inputs!$B$6)*AO$2:AU$2*(AO62:AU62+1))*100+MOD(4-5,7)</f>
        <v>1406</v>
      </c>
      <c r="AM63" s="19" t="n">
        <f aca="false">SUMPRODUCT((MOD(AO$1:AU$1-5,7)&lt;Inputs!$B$6)*AO$2:AU$2*(AO62:AU62+1))*100+MOD(5-5,7)</f>
        <v>1800</v>
      </c>
      <c r="AN63" s="19" t="n">
        <f aca="false">SUMPRODUCT((MOD(AO$1:AU$1-6,7)&lt;Inputs!$B$6)*AO$2:AU$2*(AO62:AU62+1))*100+MOD(6-5,7)</f>
        <v>1801</v>
      </c>
      <c r="AO63" s="19" t="n">
        <f aca="false">AO62+IF($B63=1,IF(MOD(0-$D63,7)&lt;Inputs!$B$6,1,0),0)</f>
        <v>3</v>
      </c>
      <c r="AP63" s="19" t="n">
        <f aca="false">AP62+IF($B63=1,IF(MOD(1-$D63,7)&lt;Inputs!$B$6,1,0),0)</f>
        <v>3</v>
      </c>
      <c r="AQ63" s="19" t="n">
        <f aca="false">AQ62+IF($B63=1,IF(MOD(2-$D63,7)&lt;Inputs!$B$6,1,0),0)</f>
        <v>2</v>
      </c>
      <c r="AR63" s="19" t="n">
        <f aca="false">AR62+IF($B63=1,IF(MOD(3-$D63,7)&lt;Inputs!$B$6,1,0),0)</f>
        <v>3</v>
      </c>
      <c r="AS63" s="19" t="n">
        <f aca="false">AS62+IF($B63=1,IF(MOD(4-$D63,7)&lt;Inputs!$B$6,1,0),0)</f>
        <v>2</v>
      </c>
      <c r="AT63" s="19" t="n">
        <f aca="false">AT62+IF($B63=1,IF(MOD(5-$D63,7)&lt;Inputs!$B$6,1,0),0)</f>
        <v>3</v>
      </c>
      <c r="AU63" s="19" t="n">
        <f aca="false">AU62+IF($B63=1,IF(MOD(6-$D63,7)&lt;Inputs!$B$6,1,0),0)</f>
        <v>4</v>
      </c>
    </row>
    <row r="64" customFormat="false" ht="15" hidden="false" customHeight="false" outlineLevel="0" collapsed="false">
      <c r="A64" s="0" t="n">
        <v>59</v>
      </c>
      <c r="B64" s="0" t="n">
        <f aca="false">IF(A64&lt;=Inputs!$B$3,1,0)</f>
        <v>0</v>
      </c>
      <c r="C64" s="0" t="n">
        <f aca="false">MOD(5+MOD(A64-1,7),7)</f>
        <v>0</v>
      </c>
      <c r="D64" s="0" t="n">
        <f aca="false">IF(Inputs!C81&lt;&gt;"",MATCH(Inputs!C81,Inputs!$A$11:$A$17,0)-1,IF(B64=0,0,MATCH(MIN(AH64:AN64),AH64:AN64,0)-1))</f>
        <v>0</v>
      </c>
      <c r="F64" s="0" t="n">
        <f aca="false">IF(OR($B64=0,F$3=0),0,IF(MOD(0-$D64,7)&lt;Inputs!$B$6,0,1))</f>
        <v>0</v>
      </c>
      <c r="G64" s="0" t="n">
        <f aca="false">IF(OR($B64=0,G$3=0),0,IF(MOD(1-$D64,7)&lt;Inputs!$B$6,0,1))</f>
        <v>0</v>
      </c>
      <c r="H64" s="0" t="n">
        <f aca="false">IF(OR($B64=0,H$3=0),0,IF(MOD(2-$D64,7)&lt;Inputs!$B$6,0,1))</f>
        <v>0</v>
      </c>
      <c r="I64" s="0" t="n">
        <f aca="false">IF(OR($B64=0,I$3=0),0,IF(MOD(3-$D64,7)&lt;Inputs!$B$6,0,1))</f>
        <v>0</v>
      </c>
      <c r="J64" s="0" t="n">
        <f aca="false">IF(OR($B64=0,J$3=0),0,IF(MOD(4-$D64,7)&lt;Inputs!$B$6,0,1))</f>
        <v>0</v>
      </c>
      <c r="K64" s="0" t="n">
        <f aca="false">IF(OR($B64=0,K$3=0),0,IF(MOD(5-$D64,7)&lt;Inputs!$B$6,0,1))</f>
        <v>0</v>
      </c>
      <c r="L64" s="0" t="n">
        <f aca="false">IF(OR($B64=0,L$3=0),0,IF(MOD(6-$D64,7)&lt;Inputs!$B$6,0,1))</f>
        <v>0</v>
      </c>
      <c r="M64" s="0" t="n">
        <f aca="false">SUM(F$6:F64)</f>
        <v>7</v>
      </c>
      <c r="N64" s="0" t="n">
        <f aca="false">SUM(G$6:G64)</f>
        <v>7</v>
      </c>
      <c r="O64" s="0" t="n">
        <f aca="false">SUM(H$6:H64)</f>
        <v>8</v>
      </c>
      <c r="P64" s="0" t="n">
        <f aca="false">SUM(I$6:I64)</f>
        <v>7</v>
      </c>
      <c r="Q64" s="0" t="n">
        <f aca="false">SUM(J$6:J64)</f>
        <v>8</v>
      </c>
      <c r="R64" s="0" t="n">
        <f aca="false">SUM(K$6:K64)</f>
        <v>7</v>
      </c>
      <c r="S64" s="0" t="n">
        <f aca="false">SUM(L$6:L64)</f>
        <v>6</v>
      </c>
      <c r="T64" s="18" t="n">
        <f aca="false">IF(F64=0,0,IF(Inputs!$D81="Open",F$1,IF(Inputs!$D81="Close",ROUND(F$2*1440-F$3*60,0)/1440,IF(OR(INT((M64-1)/Inputs!$B$7)=0,(INT((M$3-1-MOD(M64-1,Inputs!$B$7))/Inputs!$B$7)+1)&lt;=1),F$1,IF(INT((M64-1)/Inputs!$B$7)&gt;=(INT((M$3-1-MOD(M64-1,Inputs!$B$7))/Inputs!$B$7)+1)-1,ROUND(F$2*1440-F$3*60,0)/1440,MAX(F$1,MIN(ROUND(F$2*1440-F$3*60,0)/1440,ROUND((F$1+INT((M64-1)/Inputs!$B$7)/((INT((M$3-1-MOD(M64-1,Inputs!$B$7))/Inputs!$B$7)+1)-1)*((ROUND(F$2*1440-F$3*60,0)/1440)-F$1))*96,0)/96)))))))</f>
        <v>0</v>
      </c>
      <c r="U64" s="18" t="n">
        <f aca="false">IF(G64=0,0,IF(Inputs!$D81="Open",G$1,IF(Inputs!$D81="Close",ROUND(G$2*1440-G$3*60,0)/1440,IF(OR(INT((N64-1)/Inputs!$B$7)=0,(INT((N$3-1-MOD(N64-1,Inputs!$B$7))/Inputs!$B$7)+1)&lt;=1),G$1,IF(INT((N64-1)/Inputs!$B$7)&gt;=(INT((N$3-1-MOD(N64-1,Inputs!$B$7))/Inputs!$B$7)+1)-1,ROUND(G$2*1440-G$3*60,0)/1440,MAX(G$1,MIN(ROUND(G$2*1440-G$3*60,0)/1440,ROUND((G$1+INT((N64-1)/Inputs!$B$7)/((INT((N$3-1-MOD(N64-1,Inputs!$B$7))/Inputs!$B$7)+1)-1)*((ROUND(G$2*1440-G$3*60,0)/1440)-G$1))*96,0)/96)))))))</f>
        <v>0</v>
      </c>
      <c r="V64" s="18" t="n">
        <f aca="false">IF(H64=0,0,IF(Inputs!$D81="Open",H$1,IF(Inputs!$D81="Close",ROUND(H$2*1440-H$3*60,0)/1440,IF(OR(INT((O64-1)/Inputs!$B$7)=0,(INT((O$3-1-MOD(O64-1,Inputs!$B$7))/Inputs!$B$7)+1)&lt;=1),H$1,IF(INT((O64-1)/Inputs!$B$7)&gt;=(INT((O$3-1-MOD(O64-1,Inputs!$B$7))/Inputs!$B$7)+1)-1,ROUND(H$2*1440-H$3*60,0)/1440,MAX(H$1,MIN(ROUND(H$2*1440-H$3*60,0)/1440,ROUND((H$1+INT((O64-1)/Inputs!$B$7)/((INT((O$3-1-MOD(O64-1,Inputs!$B$7))/Inputs!$B$7)+1)-1)*((ROUND(H$2*1440-H$3*60,0)/1440)-H$1))*96,0)/96)))))))</f>
        <v>0</v>
      </c>
      <c r="W64" s="18" t="n">
        <f aca="false">IF(I64=0,0,IF(Inputs!$D81="Open",I$1,IF(Inputs!$D81="Close",ROUND(I$2*1440-I$3*60,0)/1440,IF(OR(INT((P64-1)/Inputs!$B$7)=0,(INT((P$3-1-MOD(P64-1,Inputs!$B$7))/Inputs!$B$7)+1)&lt;=1),I$1,IF(INT((P64-1)/Inputs!$B$7)&gt;=(INT((P$3-1-MOD(P64-1,Inputs!$B$7))/Inputs!$B$7)+1)-1,ROUND(I$2*1440-I$3*60,0)/1440,MAX(I$1,MIN(ROUND(I$2*1440-I$3*60,0)/1440,ROUND((I$1+INT((P64-1)/Inputs!$B$7)/((INT((P$3-1-MOD(P64-1,Inputs!$B$7))/Inputs!$B$7)+1)-1)*((ROUND(I$2*1440-I$3*60,0)/1440)-I$1))*96,0)/96)))))))</f>
        <v>0</v>
      </c>
      <c r="X64" s="18" t="n">
        <f aca="false">IF(J64=0,0,IF(Inputs!$D81="Open",J$1,IF(Inputs!$D81="Close",ROUND(J$2*1440-J$3*60,0)/1440,IF(OR(INT((Q64-1)/Inputs!$B$7)=0,(INT((Q$3-1-MOD(Q64-1,Inputs!$B$7))/Inputs!$B$7)+1)&lt;=1),J$1,IF(INT((Q64-1)/Inputs!$B$7)&gt;=(INT((Q$3-1-MOD(Q64-1,Inputs!$B$7))/Inputs!$B$7)+1)-1,ROUND(J$2*1440-J$3*60,0)/1440,MAX(J$1,MIN(ROUND(J$2*1440-J$3*60,0)/1440,ROUND((J$1+INT((Q64-1)/Inputs!$B$7)/((INT((Q$3-1-MOD(Q64-1,Inputs!$B$7))/Inputs!$B$7)+1)-1)*((ROUND(J$2*1440-J$3*60,0)/1440)-J$1))*96,0)/96)))))))</f>
        <v>0</v>
      </c>
      <c r="Y64" s="18" t="n">
        <f aca="false">IF(K64=0,0,IF(Inputs!$D81="Open",K$1,IF(Inputs!$D81="Close",ROUND(K$2*1440-K$3*60,0)/1440,IF(OR(INT((R64-1)/Inputs!$B$7)=0,(INT((R$3-1-MOD(R64-1,Inputs!$B$7))/Inputs!$B$7)+1)&lt;=1),K$1,IF(INT((R64-1)/Inputs!$B$7)&gt;=(INT((R$3-1-MOD(R64-1,Inputs!$B$7))/Inputs!$B$7)+1)-1,ROUND(K$2*1440-K$3*60,0)/1440,MAX(K$1,MIN(ROUND(K$2*1440-K$3*60,0)/1440,ROUND((K$1+INT((R64-1)/Inputs!$B$7)/((INT((R$3-1-MOD(R64-1,Inputs!$B$7))/Inputs!$B$7)+1)-1)*((ROUND(K$2*1440-K$3*60,0)/1440)-K$1))*96,0)/96)))))))</f>
        <v>0</v>
      </c>
      <c r="Z64" s="18" t="n">
        <f aca="false">IF(L64=0,0,IF(Inputs!$D81="Open",L$1,IF(Inputs!$D81="Close",ROUND(L$2*1440-L$3*60,0)/1440,IF(OR(INT((S64-1)/Inputs!$B$7)=0,(INT((S$3-1-MOD(S64-1,Inputs!$B$7))/Inputs!$B$7)+1)&lt;=1),L$1,IF(INT((S64-1)/Inputs!$B$7)&gt;=(INT((S$3-1-MOD(S64-1,Inputs!$B$7))/Inputs!$B$7)+1)-1,ROUND(L$2*1440-L$3*60,0)/1440,MAX(L$1,MIN(ROUND(L$2*1440-L$3*60,0)/1440,ROUND((L$1+INT((S64-1)/Inputs!$B$7)/((INT((S$3-1-MOD(S64-1,Inputs!$B$7))/Inputs!$B$7)+1)-1)*((ROUND(L$2*1440-L$3*60,0)/1440)-L$1))*96,0)/96)))))))</f>
        <v>0</v>
      </c>
      <c r="AA64" s="18" t="n">
        <f aca="false">IF(F64=0,0,ROUND(T64*1440+F$3*60,0)/1440)</f>
        <v>0</v>
      </c>
      <c r="AB64" s="18" t="n">
        <f aca="false">IF(G64=0,0,ROUND(U64*1440+G$3*60,0)/1440)</f>
        <v>0</v>
      </c>
      <c r="AC64" s="18" t="n">
        <f aca="false">IF(H64=0,0,ROUND(V64*1440+H$3*60,0)/1440)</f>
        <v>0</v>
      </c>
      <c r="AD64" s="18" t="n">
        <f aca="false">IF(I64=0,0,ROUND(W64*1440+I$3*60,0)/1440)</f>
        <v>0</v>
      </c>
      <c r="AE64" s="18" t="n">
        <f aca="false">IF(J64=0,0,ROUND(X64*1440+J$3*60,0)/1440)</f>
        <v>0</v>
      </c>
      <c r="AF64" s="18" t="n">
        <f aca="false">IF(K64=0,0,ROUND(Y64*1440+K$3*60,0)/1440)</f>
        <v>0</v>
      </c>
      <c r="AG64" s="18" t="n">
        <f aca="false">IF(L64=0,0,ROUND(Z64*1440+L$3*60,0)/1440)</f>
        <v>0</v>
      </c>
      <c r="AH64" s="19" t="n">
        <f aca="false">SUMPRODUCT((MOD(AO$1:AU$1-0,7)&lt;Inputs!$B$6)*AO$2:AU$2*(AO63:AU63+1))*100+MOD(0-5,7)</f>
        <v>1602</v>
      </c>
      <c r="AI64" s="19" t="n">
        <f aca="false">SUMPRODUCT((MOD(AO$1:AU$1-1,7)&lt;Inputs!$B$6)*AO$2:AU$2*(AO63:AU63+1))*100+MOD(1-5,7)</f>
        <v>1403</v>
      </c>
      <c r="AJ64" s="19" t="n">
        <f aca="false">SUMPRODUCT((MOD(AO$1:AU$1-2,7)&lt;Inputs!$B$6)*AO$2:AU$2*(AO63:AU63+1))*100+MOD(2-5,7)</f>
        <v>1404</v>
      </c>
      <c r="AK64" s="19" t="n">
        <f aca="false">SUMPRODUCT((MOD(AO$1:AU$1-3,7)&lt;Inputs!$B$6)*AO$2:AU$2*(AO63:AU63+1))*100+MOD(3-5,7)</f>
        <v>1405</v>
      </c>
      <c r="AL64" s="19" t="n">
        <f aca="false">SUMPRODUCT((MOD(AO$1:AU$1-4,7)&lt;Inputs!$B$6)*AO$2:AU$2*(AO63:AU63+1))*100+MOD(4-5,7)</f>
        <v>1406</v>
      </c>
      <c r="AM64" s="19" t="n">
        <f aca="false">SUMPRODUCT((MOD(AO$1:AU$1-5,7)&lt;Inputs!$B$6)*AO$2:AU$2*(AO63:AU63+1))*100+MOD(5-5,7)</f>
        <v>1800</v>
      </c>
      <c r="AN64" s="19" t="n">
        <f aca="false">SUMPRODUCT((MOD(AO$1:AU$1-6,7)&lt;Inputs!$B$6)*AO$2:AU$2*(AO63:AU63+1))*100+MOD(6-5,7)</f>
        <v>1801</v>
      </c>
      <c r="AO64" s="19" t="n">
        <f aca="false">AO63+IF($B64=1,IF(MOD(0-$D64,7)&lt;Inputs!$B$6,1,0),0)</f>
        <v>3</v>
      </c>
      <c r="AP64" s="19" t="n">
        <f aca="false">AP63+IF($B64=1,IF(MOD(1-$D64,7)&lt;Inputs!$B$6,1,0),0)</f>
        <v>3</v>
      </c>
      <c r="AQ64" s="19" t="n">
        <f aca="false">AQ63+IF($B64=1,IF(MOD(2-$D64,7)&lt;Inputs!$B$6,1,0),0)</f>
        <v>2</v>
      </c>
      <c r="AR64" s="19" t="n">
        <f aca="false">AR63+IF($B64=1,IF(MOD(3-$D64,7)&lt;Inputs!$B$6,1,0),0)</f>
        <v>3</v>
      </c>
      <c r="AS64" s="19" t="n">
        <f aca="false">AS63+IF($B64=1,IF(MOD(4-$D64,7)&lt;Inputs!$B$6,1,0),0)</f>
        <v>2</v>
      </c>
      <c r="AT64" s="19" t="n">
        <f aca="false">AT63+IF($B64=1,IF(MOD(5-$D64,7)&lt;Inputs!$B$6,1,0),0)</f>
        <v>3</v>
      </c>
      <c r="AU64" s="19" t="n">
        <f aca="false">AU63+IF($B64=1,IF(MOD(6-$D64,7)&lt;Inputs!$B$6,1,0),0)</f>
        <v>4</v>
      </c>
    </row>
    <row r="65" customFormat="false" ht="15" hidden="false" customHeight="false" outlineLevel="0" collapsed="false">
      <c r="A65" s="0" t="n">
        <v>60</v>
      </c>
      <c r="B65" s="0" t="n">
        <f aca="false">IF(A65&lt;=Inputs!$B$3,1,0)</f>
        <v>0</v>
      </c>
      <c r="C65" s="0" t="n">
        <f aca="false">MOD(5+MOD(A65-1,7),7)</f>
        <v>1</v>
      </c>
      <c r="D65" s="0" t="n">
        <f aca="false">IF(Inputs!C82&lt;&gt;"",MATCH(Inputs!C82,Inputs!$A$11:$A$17,0)-1,IF(B65=0,0,MATCH(MIN(AH65:AN65),AH65:AN65,0)-1))</f>
        <v>0</v>
      </c>
      <c r="F65" s="0" t="n">
        <f aca="false">IF(OR($B65=0,F$3=0),0,IF(MOD(0-$D65,7)&lt;Inputs!$B$6,0,1))</f>
        <v>0</v>
      </c>
      <c r="G65" s="0" t="n">
        <f aca="false">IF(OR($B65=0,G$3=0),0,IF(MOD(1-$D65,7)&lt;Inputs!$B$6,0,1))</f>
        <v>0</v>
      </c>
      <c r="H65" s="0" t="n">
        <f aca="false">IF(OR($B65=0,H$3=0),0,IF(MOD(2-$D65,7)&lt;Inputs!$B$6,0,1))</f>
        <v>0</v>
      </c>
      <c r="I65" s="0" t="n">
        <f aca="false">IF(OR($B65=0,I$3=0),0,IF(MOD(3-$D65,7)&lt;Inputs!$B$6,0,1))</f>
        <v>0</v>
      </c>
      <c r="J65" s="0" t="n">
        <f aca="false">IF(OR($B65=0,J$3=0),0,IF(MOD(4-$D65,7)&lt;Inputs!$B$6,0,1))</f>
        <v>0</v>
      </c>
      <c r="K65" s="0" t="n">
        <f aca="false">IF(OR($B65=0,K$3=0),0,IF(MOD(5-$D65,7)&lt;Inputs!$B$6,0,1))</f>
        <v>0</v>
      </c>
      <c r="L65" s="0" t="n">
        <f aca="false">IF(OR($B65=0,L$3=0),0,IF(MOD(6-$D65,7)&lt;Inputs!$B$6,0,1))</f>
        <v>0</v>
      </c>
      <c r="M65" s="0" t="n">
        <f aca="false">SUM(F$6:F65)</f>
        <v>7</v>
      </c>
      <c r="N65" s="0" t="n">
        <f aca="false">SUM(G$6:G65)</f>
        <v>7</v>
      </c>
      <c r="O65" s="0" t="n">
        <f aca="false">SUM(H$6:H65)</f>
        <v>8</v>
      </c>
      <c r="P65" s="0" t="n">
        <f aca="false">SUM(I$6:I65)</f>
        <v>7</v>
      </c>
      <c r="Q65" s="0" t="n">
        <f aca="false">SUM(J$6:J65)</f>
        <v>8</v>
      </c>
      <c r="R65" s="0" t="n">
        <f aca="false">SUM(K$6:K65)</f>
        <v>7</v>
      </c>
      <c r="S65" s="0" t="n">
        <f aca="false">SUM(L$6:L65)</f>
        <v>6</v>
      </c>
      <c r="T65" s="18" t="n">
        <f aca="false">IF(F65=0,0,IF(Inputs!$D82="Open",F$1,IF(Inputs!$D82="Close",ROUND(F$2*1440-F$3*60,0)/1440,IF(OR(INT((M65-1)/Inputs!$B$7)=0,(INT((M$3-1-MOD(M65-1,Inputs!$B$7))/Inputs!$B$7)+1)&lt;=1),F$1,IF(INT((M65-1)/Inputs!$B$7)&gt;=(INT((M$3-1-MOD(M65-1,Inputs!$B$7))/Inputs!$B$7)+1)-1,ROUND(F$2*1440-F$3*60,0)/1440,MAX(F$1,MIN(ROUND(F$2*1440-F$3*60,0)/1440,ROUND((F$1+INT((M65-1)/Inputs!$B$7)/((INT((M$3-1-MOD(M65-1,Inputs!$B$7))/Inputs!$B$7)+1)-1)*((ROUND(F$2*1440-F$3*60,0)/1440)-F$1))*96,0)/96)))))))</f>
        <v>0</v>
      </c>
      <c r="U65" s="18" t="n">
        <f aca="false">IF(G65=0,0,IF(Inputs!$D82="Open",G$1,IF(Inputs!$D82="Close",ROUND(G$2*1440-G$3*60,0)/1440,IF(OR(INT((N65-1)/Inputs!$B$7)=0,(INT((N$3-1-MOD(N65-1,Inputs!$B$7))/Inputs!$B$7)+1)&lt;=1),G$1,IF(INT((N65-1)/Inputs!$B$7)&gt;=(INT((N$3-1-MOD(N65-1,Inputs!$B$7))/Inputs!$B$7)+1)-1,ROUND(G$2*1440-G$3*60,0)/1440,MAX(G$1,MIN(ROUND(G$2*1440-G$3*60,0)/1440,ROUND((G$1+INT((N65-1)/Inputs!$B$7)/((INT((N$3-1-MOD(N65-1,Inputs!$B$7))/Inputs!$B$7)+1)-1)*((ROUND(G$2*1440-G$3*60,0)/1440)-G$1))*96,0)/96)))))))</f>
        <v>0</v>
      </c>
      <c r="V65" s="18" t="n">
        <f aca="false">IF(H65=0,0,IF(Inputs!$D82="Open",H$1,IF(Inputs!$D82="Close",ROUND(H$2*1440-H$3*60,0)/1440,IF(OR(INT((O65-1)/Inputs!$B$7)=0,(INT((O$3-1-MOD(O65-1,Inputs!$B$7))/Inputs!$B$7)+1)&lt;=1),H$1,IF(INT((O65-1)/Inputs!$B$7)&gt;=(INT((O$3-1-MOD(O65-1,Inputs!$B$7))/Inputs!$B$7)+1)-1,ROUND(H$2*1440-H$3*60,0)/1440,MAX(H$1,MIN(ROUND(H$2*1440-H$3*60,0)/1440,ROUND((H$1+INT((O65-1)/Inputs!$B$7)/((INT((O$3-1-MOD(O65-1,Inputs!$B$7))/Inputs!$B$7)+1)-1)*((ROUND(H$2*1440-H$3*60,0)/1440)-H$1))*96,0)/96)))))))</f>
        <v>0</v>
      </c>
      <c r="W65" s="18" t="n">
        <f aca="false">IF(I65=0,0,IF(Inputs!$D82="Open",I$1,IF(Inputs!$D82="Close",ROUND(I$2*1440-I$3*60,0)/1440,IF(OR(INT((P65-1)/Inputs!$B$7)=0,(INT((P$3-1-MOD(P65-1,Inputs!$B$7))/Inputs!$B$7)+1)&lt;=1),I$1,IF(INT((P65-1)/Inputs!$B$7)&gt;=(INT((P$3-1-MOD(P65-1,Inputs!$B$7))/Inputs!$B$7)+1)-1,ROUND(I$2*1440-I$3*60,0)/1440,MAX(I$1,MIN(ROUND(I$2*1440-I$3*60,0)/1440,ROUND((I$1+INT((P65-1)/Inputs!$B$7)/((INT((P$3-1-MOD(P65-1,Inputs!$B$7))/Inputs!$B$7)+1)-1)*((ROUND(I$2*1440-I$3*60,0)/1440)-I$1))*96,0)/96)))))))</f>
        <v>0</v>
      </c>
      <c r="X65" s="18" t="n">
        <f aca="false">IF(J65=0,0,IF(Inputs!$D82="Open",J$1,IF(Inputs!$D82="Close",ROUND(J$2*1440-J$3*60,0)/1440,IF(OR(INT((Q65-1)/Inputs!$B$7)=0,(INT((Q$3-1-MOD(Q65-1,Inputs!$B$7))/Inputs!$B$7)+1)&lt;=1),J$1,IF(INT((Q65-1)/Inputs!$B$7)&gt;=(INT((Q$3-1-MOD(Q65-1,Inputs!$B$7))/Inputs!$B$7)+1)-1,ROUND(J$2*1440-J$3*60,0)/1440,MAX(J$1,MIN(ROUND(J$2*1440-J$3*60,0)/1440,ROUND((J$1+INT((Q65-1)/Inputs!$B$7)/((INT((Q$3-1-MOD(Q65-1,Inputs!$B$7))/Inputs!$B$7)+1)-1)*((ROUND(J$2*1440-J$3*60,0)/1440)-J$1))*96,0)/96)))))))</f>
        <v>0</v>
      </c>
      <c r="Y65" s="18" t="n">
        <f aca="false">IF(K65=0,0,IF(Inputs!$D82="Open",K$1,IF(Inputs!$D82="Close",ROUND(K$2*1440-K$3*60,0)/1440,IF(OR(INT((R65-1)/Inputs!$B$7)=0,(INT((R$3-1-MOD(R65-1,Inputs!$B$7))/Inputs!$B$7)+1)&lt;=1),K$1,IF(INT((R65-1)/Inputs!$B$7)&gt;=(INT((R$3-1-MOD(R65-1,Inputs!$B$7))/Inputs!$B$7)+1)-1,ROUND(K$2*1440-K$3*60,0)/1440,MAX(K$1,MIN(ROUND(K$2*1440-K$3*60,0)/1440,ROUND((K$1+INT((R65-1)/Inputs!$B$7)/((INT((R$3-1-MOD(R65-1,Inputs!$B$7))/Inputs!$B$7)+1)-1)*((ROUND(K$2*1440-K$3*60,0)/1440)-K$1))*96,0)/96)))))))</f>
        <v>0</v>
      </c>
      <c r="Z65" s="18" t="n">
        <f aca="false">IF(L65=0,0,IF(Inputs!$D82="Open",L$1,IF(Inputs!$D82="Close",ROUND(L$2*1440-L$3*60,0)/1440,IF(OR(INT((S65-1)/Inputs!$B$7)=0,(INT((S$3-1-MOD(S65-1,Inputs!$B$7))/Inputs!$B$7)+1)&lt;=1),L$1,IF(INT((S65-1)/Inputs!$B$7)&gt;=(INT((S$3-1-MOD(S65-1,Inputs!$B$7))/Inputs!$B$7)+1)-1,ROUND(L$2*1440-L$3*60,0)/1440,MAX(L$1,MIN(ROUND(L$2*1440-L$3*60,0)/1440,ROUND((L$1+INT((S65-1)/Inputs!$B$7)/((INT((S$3-1-MOD(S65-1,Inputs!$B$7))/Inputs!$B$7)+1)-1)*((ROUND(L$2*1440-L$3*60,0)/1440)-L$1))*96,0)/96)))))))</f>
        <v>0</v>
      </c>
      <c r="AA65" s="18" t="n">
        <f aca="false">IF(F65=0,0,ROUND(T65*1440+F$3*60,0)/1440)</f>
        <v>0</v>
      </c>
      <c r="AB65" s="18" t="n">
        <f aca="false">IF(G65=0,0,ROUND(U65*1440+G$3*60,0)/1440)</f>
        <v>0</v>
      </c>
      <c r="AC65" s="18" t="n">
        <f aca="false">IF(H65=0,0,ROUND(V65*1440+H$3*60,0)/1440)</f>
        <v>0</v>
      </c>
      <c r="AD65" s="18" t="n">
        <f aca="false">IF(I65=0,0,ROUND(W65*1440+I$3*60,0)/1440)</f>
        <v>0</v>
      </c>
      <c r="AE65" s="18" t="n">
        <f aca="false">IF(J65=0,0,ROUND(X65*1440+J$3*60,0)/1440)</f>
        <v>0</v>
      </c>
      <c r="AF65" s="18" t="n">
        <f aca="false">IF(K65=0,0,ROUND(Y65*1440+K$3*60,0)/1440)</f>
        <v>0</v>
      </c>
      <c r="AG65" s="18" t="n">
        <f aca="false">IF(L65=0,0,ROUND(Z65*1440+L$3*60,0)/1440)</f>
        <v>0</v>
      </c>
      <c r="AH65" s="19" t="n">
        <f aca="false">SUMPRODUCT((MOD(AO$1:AU$1-0,7)&lt;Inputs!$B$6)*AO$2:AU$2*(AO64:AU64+1))*100+MOD(0-5,7)</f>
        <v>1602</v>
      </c>
      <c r="AI65" s="19" t="n">
        <f aca="false">SUMPRODUCT((MOD(AO$1:AU$1-1,7)&lt;Inputs!$B$6)*AO$2:AU$2*(AO64:AU64+1))*100+MOD(1-5,7)</f>
        <v>1403</v>
      </c>
      <c r="AJ65" s="19" t="n">
        <f aca="false">SUMPRODUCT((MOD(AO$1:AU$1-2,7)&lt;Inputs!$B$6)*AO$2:AU$2*(AO64:AU64+1))*100+MOD(2-5,7)</f>
        <v>1404</v>
      </c>
      <c r="AK65" s="19" t="n">
        <f aca="false">SUMPRODUCT((MOD(AO$1:AU$1-3,7)&lt;Inputs!$B$6)*AO$2:AU$2*(AO64:AU64+1))*100+MOD(3-5,7)</f>
        <v>1405</v>
      </c>
      <c r="AL65" s="19" t="n">
        <f aca="false">SUMPRODUCT((MOD(AO$1:AU$1-4,7)&lt;Inputs!$B$6)*AO$2:AU$2*(AO64:AU64+1))*100+MOD(4-5,7)</f>
        <v>1406</v>
      </c>
      <c r="AM65" s="19" t="n">
        <f aca="false">SUMPRODUCT((MOD(AO$1:AU$1-5,7)&lt;Inputs!$B$6)*AO$2:AU$2*(AO64:AU64+1))*100+MOD(5-5,7)</f>
        <v>1800</v>
      </c>
      <c r="AN65" s="19" t="n">
        <f aca="false">SUMPRODUCT((MOD(AO$1:AU$1-6,7)&lt;Inputs!$B$6)*AO$2:AU$2*(AO64:AU64+1))*100+MOD(6-5,7)</f>
        <v>1801</v>
      </c>
      <c r="AO65" s="19" t="n">
        <f aca="false">AO64+IF($B65=1,IF(MOD(0-$D65,7)&lt;Inputs!$B$6,1,0),0)</f>
        <v>3</v>
      </c>
      <c r="AP65" s="19" t="n">
        <f aca="false">AP64+IF($B65=1,IF(MOD(1-$D65,7)&lt;Inputs!$B$6,1,0),0)</f>
        <v>3</v>
      </c>
      <c r="AQ65" s="19" t="n">
        <f aca="false">AQ64+IF($B65=1,IF(MOD(2-$D65,7)&lt;Inputs!$B$6,1,0),0)</f>
        <v>2</v>
      </c>
      <c r="AR65" s="19" t="n">
        <f aca="false">AR64+IF($B65=1,IF(MOD(3-$D65,7)&lt;Inputs!$B$6,1,0),0)</f>
        <v>3</v>
      </c>
      <c r="AS65" s="19" t="n">
        <f aca="false">AS64+IF($B65=1,IF(MOD(4-$D65,7)&lt;Inputs!$B$6,1,0),0)</f>
        <v>2</v>
      </c>
      <c r="AT65" s="19" t="n">
        <f aca="false">AT64+IF($B65=1,IF(MOD(5-$D65,7)&lt;Inputs!$B$6,1,0),0)</f>
        <v>3</v>
      </c>
      <c r="AU65" s="19" t="n">
        <f aca="false">AU64+IF($B65=1,IF(MOD(6-$D65,7)&lt;Inputs!$B$6,1,0),0)</f>
        <v>4</v>
      </c>
    </row>
    <row r="66" customFormat="false" ht="15" hidden="false" customHeight="false" outlineLevel="0" collapsed="false">
      <c r="A66" s="0" t="n">
        <v>61</v>
      </c>
      <c r="B66" s="0" t="n">
        <f aca="false">IF(A66&lt;=Inputs!$B$3,1,0)</f>
        <v>0</v>
      </c>
      <c r="C66" s="0" t="n">
        <f aca="false">MOD(5+MOD(A66-1,7),7)</f>
        <v>2</v>
      </c>
      <c r="D66" s="0" t="n">
        <f aca="false">IF(Inputs!C83&lt;&gt;"",MATCH(Inputs!C83,Inputs!$A$11:$A$17,0)-1,IF(B66=0,0,MATCH(MIN(AH66:AN66),AH66:AN66,0)-1))</f>
        <v>0</v>
      </c>
      <c r="F66" s="0" t="n">
        <f aca="false">IF(OR($B66=0,F$3=0),0,IF(MOD(0-$D66,7)&lt;Inputs!$B$6,0,1))</f>
        <v>0</v>
      </c>
      <c r="G66" s="0" t="n">
        <f aca="false">IF(OR($B66=0,G$3=0),0,IF(MOD(1-$D66,7)&lt;Inputs!$B$6,0,1))</f>
        <v>0</v>
      </c>
      <c r="H66" s="0" t="n">
        <f aca="false">IF(OR($B66=0,H$3=0),0,IF(MOD(2-$D66,7)&lt;Inputs!$B$6,0,1))</f>
        <v>0</v>
      </c>
      <c r="I66" s="0" t="n">
        <f aca="false">IF(OR($B66=0,I$3=0),0,IF(MOD(3-$D66,7)&lt;Inputs!$B$6,0,1))</f>
        <v>0</v>
      </c>
      <c r="J66" s="0" t="n">
        <f aca="false">IF(OR($B66=0,J$3=0),0,IF(MOD(4-$D66,7)&lt;Inputs!$B$6,0,1))</f>
        <v>0</v>
      </c>
      <c r="K66" s="0" t="n">
        <f aca="false">IF(OR($B66=0,K$3=0),0,IF(MOD(5-$D66,7)&lt;Inputs!$B$6,0,1))</f>
        <v>0</v>
      </c>
      <c r="L66" s="0" t="n">
        <f aca="false">IF(OR($B66=0,L$3=0),0,IF(MOD(6-$D66,7)&lt;Inputs!$B$6,0,1))</f>
        <v>0</v>
      </c>
      <c r="M66" s="0" t="n">
        <f aca="false">SUM(F$6:F66)</f>
        <v>7</v>
      </c>
      <c r="N66" s="0" t="n">
        <f aca="false">SUM(G$6:G66)</f>
        <v>7</v>
      </c>
      <c r="O66" s="0" t="n">
        <f aca="false">SUM(H$6:H66)</f>
        <v>8</v>
      </c>
      <c r="P66" s="0" t="n">
        <f aca="false">SUM(I$6:I66)</f>
        <v>7</v>
      </c>
      <c r="Q66" s="0" t="n">
        <f aca="false">SUM(J$6:J66)</f>
        <v>8</v>
      </c>
      <c r="R66" s="0" t="n">
        <f aca="false">SUM(K$6:K66)</f>
        <v>7</v>
      </c>
      <c r="S66" s="0" t="n">
        <f aca="false">SUM(L$6:L66)</f>
        <v>6</v>
      </c>
      <c r="T66" s="18" t="n">
        <f aca="false">IF(F66=0,0,IF(Inputs!$D83="Open",F$1,IF(Inputs!$D83="Close",ROUND(F$2*1440-F$3*60,0)/1440,IF(OR(INT((M66-1)/Inputs!$B$7)=0,(INT((M$3-1-MOD(M66-1,Inputs!$B$7))/Inputs!$B$7)+1)&lt;=1),F$1,IF(INT((M66-1)/Inputs!$B$7)&gt;=(INT((M$3-1-MOD(M66-1,Inputs!$B$7))/Inputs!$B$7)+1)-1,ROUND(F$2*1440-F$3*60,0)/1440,MAX(F$1,MIN(ROUND(F$2*1440-F$3*60,0)/1440,ROUND((F$1+INT((M66-1)/Inputs!$B$7)/((INT((M$3-1-MOD(M66-1,Inputs!$B$7))/Inputs!$B$7)+1)-1)*((ROUND(F$2*1440-F$3*60,0)/1440)-F$1))*96,0)/96)))))))</f>
        <v>0</v>
      </c>
      <c r="U66" s="18" t="n">
        <f aca="false">IF(G66=0,0,IF(Inputs!$D83="Open",G$1,IF(Inputs!$D83="Close",ROUND(G$2*1440-G$3*60,0)/1440,IF(OR(INT((N66-1)/Inputs!$B$7)=0,(INT((N$3-1-MOD(N66-1,Inputs!$B$7))/Inputs!$B$7)+1)&lt;=1),G$1,IF(INT((N66-1)/Inputs!$B$7)&gt;=(INT((N$3-1-MOD(N66-1,Inputs!$B$7))/Inputs!$B$7)+1)-1,ROUND(G$2*1440-G$3*60,0)/1440,MAX(G$1,MIN(ROUND(G$2*1440-G$3*60,0)/1440,ROUND((G$1+INT((N66-1)/Inputs!$B$7)/((INT((N$3-1-MOD(N66-1,Inputs!$B$7))/Inputs!$B$7)+1)-1)*((ROUND(G$2*1440-G$3*60,0)/1440)-G$1))*96,0)/96)))))))</f>
        <v>0</v>
      </c>
      <c r="V66" s="18" t="n">
        <f aca="false">IF(H66=0,0,IF(Inputs!$D83="Open",H$1,IF(Inputs!$D83="Close",ROUND(H$2*1440-H$3*60,0)/1440,IF(OR(INT((O66-1)/Inputs!$B$7)=0,(INT((O$3-1-MOD(O66-1,Inputs!$B$7))/Inputs!$B$7)+1)&lt;=1),H$1,IF(INT((O66-1)/Inputs!$B$7)&gt;=(INT((O$3-1-MOD(O66-1,Inputs!$B$7))/Inputs!$B$7)+1)-1,ROUND(H$2*1440-H$3*60,0)/1440,MAX(H$1,MIN(ROUND(H$2*1440-H$3*60,0)/1440,ROUND((H$1+INT((O66-1)/Inputs!$B$7)/((INT((O$3-1-MOD(O66-1,Inputs!$B$7))/Inputs!$B$7)+1)-1)*((ROUND(H$2*1440-H$3*60,0)/1440)-H$1))*96,0)/96)))))))</f>
        <v>0</v>
      </c>
      <c r="W66" s="18" t="n">
        <f aca="false">IF(I66=0,0,IF(Inputs!$D83="Open",I$1,IF(Inputs!$D83="Close",ROUND(I$2*1440-I$3*60,0)/1440,IF(OR(INT((P66-1)/Inputs!$B$7)=0,(INT((P$3-1-MOD(P66-1,Inputs!$B$7))/Inputs!$B$7)+1)&lt;=1),I$1,IF(INT((P66-1)/Inputs!$B$7)&gt;=(INT((P$3-1-MOD(P66-1,Inputs!$B$7))/Inputs!$B$7)+1)-1,ROUND(I$2*1440-I$3*60,0)/1440,MAX(I$1,MIN(ROUND(I$2*1440-I$3*60,0)/1440,ROUND((I$1+INT((P66-1)/Inputs!$B$7)/((INT((P$3-1-MOD(P66-1,Inputs!$B$7))/Inputs!$B$7)+1)-1)*((ROUND(I$2*1440-I$3*60,0)/1440)-I$1))*96,0)/96)))))))</f>
        <v>0</v>
      </c>
      <c r="X66" s="18" t="n">
        <f aca="false">IF(J66=0,0,IF(Inputs!$D83="Open",J$1,IF(Inputs!$D83="Close",ROUND(J$2*1440-J$3*60,0)/1440,IF(OR(INT((Q66-1)/Inputs!$B$7)=0,(INT((Q$3-1-MOD(Q66-1,Inputs!$B$7))/Inputs!$B$7)+1)&lt;=1),J$1,IF(INT((Q66-1)/Inputs!$B$7)&gt;=(INT((Q$3-1-MOD(Q66-1,Inputs!$B$7))/Inputs!$B$7)+1)-1,ROUND(J$2*1440-J$3*60,0)/1440,MAX(J$1,MIN(ROUND(J$2*1440-J$3*60,0)/1440,ROUND((J$1+INT((Q66-1)/Inputs!$B$7)/((INT((Q$3-1-MOD(Q66-1,Inputs!$B$7))/Inputs!$B$7)+1)-1)*((ROUND(J$2*1440-J$3*60,0)/1440)-J$1))*96,0)/96)))))))</f>
        <v>0</v>
      </c>
      <c r="Y66" s="18" t="n">
        <f aca="false">IF(K66=0,0,IF(Inputs!$D83="Open",K$1,IF(Inputs!$D83="Close",ROUND(K$2*1440-K$3*60,0)/1440,IF(OR(INT((R66-1)/Inputs!$B$7)=0,(INT((R$3-1-MOD(R66-1,Inputs!$B$7))/Inputs!$B$7)+1)&lt;=1),K$1,IF(INT((R66-1)/Inputs!$B$7)&gt;=(INT((R$3-1-MOD(R66-1,Inputs!$B$7))/Inputs!$B$7)+1)-1,ROUND(K$2*1440-K$3*60,0)/1440,MAX(K$1,MIN(ROUND(K$2*1440-K$3*60,0)/1440,ROUND((K$1+INT((R66-1)/Inputs!$B$7)/((INT((R$3-1-MOD(R66-1,Inputs!$B$7))/Inputs!$B$7)+1)-1)*((ROUND(K$2*1440-K$3*60,0)/1440)-K$1))*96,0)/96)))))))</f>
        <v>0</v>
      </c>
      <c r="Z66" s="18" t="n">
        <f aca="false">IF(L66=0,0,IF(Inputs!$D83="Open",L$1,IF(Inputs!$D83="Close",ROUND(L$2*1440-L$3*60,0)/1440,IF(OR(INT((S66-1)/Inputs!$B$7)=0,(INT((S$3-1-MOD(S66-1,Inputs!$B$7))/Inputs!$B$7)+1)&lt;=1),L$1,IF(INT((S66-1)/Inputs!$B$7)&gt;=(INT((S$3-1-MOD(S66-1,Inputs!$B$7))/Inputs!$B$7)+1)-1,ROUND(L$2*1440-L$3*60,0)/1440,MAX(L$1,MIN(ROUND(L$2*1440-L$3*60,0)/1440,ROUND((L$1+INT((S66-1)/Inputs!$B$7)/((INT((S$3-1-MOD(S66-1,Inputs!$B$7))/Inputs!$B$7)+1)-1)*((ROUND(L$2*1440-L$3*60,0)/1440)-L$1))*96,0)/96)))))))</f>
        <v>0</v>
      </c>
      <c r="AA66" s="18" t="n">
        <f aca="false">IF(F66=0,0,ROUND(T66*1440+F$3*60,0)/1440)</f>
        <v>0</v>
      </c>
      <c r="AB66" s="18" t="n">
        <f aca="false">IF(G66=0,0,ROUND(U66*1440+G$3*60,0)/1440)</f>
        <v>0</v>
      </c>
      <c r="AC66" s="18" t="n">
        <f aca="false">IF(H66=0,0,ROUND(V66*1440+H$3*60,0)/1440)</f>
        <v>0</v>
      </c>
      <c r="AD66" s="18" t="n">
        <f aca="false">IF(I66=0,0,ROUND(W66*1440+I$3*60,0)/1440)</f>
        <v>0</v>
      </c>
      <c r="AE66" s="18" t="n">
        <f aca="false">IF(J66=0,0,ROUND(X66*1440+J$3*60,0)/1440)</f>
        <v>0</v>
      </c>
      <c r="AF66" s="18" t="n">
        <f aca="false">IF(K66=0,0,ROUND(Y66*1440+K$3*60,0)/1440)</f>
        <v>0</v>
      </c>
      <c r="AG66" s="18" t="n">
        <f aca="false">IF(L66=0,0,ROUND(Z66*1440+L$3*60,0)/1440)</f>
        <v>0</v>
      </c>
      <c r="AH66" s="19" t="n">
        <f aca="false">SUMPRODUCT((MOD(AO$1:AU$1-0,7)&lt;Inputs!$B$6)*AO$2:AU$2*(AO65:AU65+1))*100+MOD(0-5,7)</f>
        <v>1602</v>
      </c>
      <c r="AI66" s="19" t="n">
        <f aca="false">SUMPRODUCT((MOD(AO$1:AU$1-1,7)&lt;Inputs!$B$6)*AO$2:AU$2*(AO65:AU65+1))*100+MOD(1-5,7)</f>
        <v>1403</v>
      </c>
      <c r="AJ66" s="19" t="n">
        <f aca="false">SUMPRODUCT((MOD(AO$1:AU$1-2,7)&lt;Inputs!$B$6)*AO$2:AU$2*(AO65:AU65+1))*100+MOD(2-5,7)</f>
        <v>1404</v>
      </c>
      <c r="AK66" s="19" t="n">
        <f aca="false">SUMPRODUCT((MOD(AO$1:AU$1-3,7)&lt;Inputs!$B$6)*AO$2:AU$2*(AO65:AU65+1))*100+MOD(3-5,7)</f>
        <v>1405</v>
      </c>
      <c r="AL66" s="19" t="n">
        <f aca="false">SUMPRODUCT((MOD(AO$1:AU$1-4,7)&lt;Inputs!$B$6)*AO$2:AU$2*(AO65:AU65+1))*100+MOD(4-5,7)</f>
        <v>1406</v>
      </c>
      <c r="AM66" s="19" t="n">
        <f aca="false">SUMPRODUCT((MOD(AO$1:AU$1-5,7)&lt;Inputs!$B$6)*AO$2:AU$2*(AO65:AU65+1))*100+MOD(5-5,7)</f>
        <v>1800</v>
      </c>
      <c r="AN66" s="19" t="n">
        <f aca="false">SUMPRODUCT((MOD(AO$1:AU$1-6,7)&lt;Inputs!$B$6)*AO$2:AU$2*(AO65:AU65+1))*100+MOD(6-5,7)</f>
        <v>1801</v>
      </c>
      <c r="AO66" s="19" t="n">
        <f aca="false">AO65+IF($B66=1,IF(MOD(0-$D66,7)&lt;Inputs!$B$6,1,0),0)</f>
        <v>3</v>
      </c>
      <c r="AP66" s="19" t="n">
        <f aca="false">AP65+IF($B66=1,IF(MOD(1-$D66,7)&lt;Inputs!$B$6,1,0),0)</f>
        <v>3</v>
      </c>
      <c r="AQ66" s="19" t="n">
        <f aca="false">AQ65+IF($B66=1,IF(MOD(2-$D66,7)&lt;Inputs!$B$6,1,0),0)</f>
        <v>2</v>
      </c>
      <c r="AR66" s="19" t="n">
        <f aca="false">AR65+IF($B66=1,IF(MOD(3-$D66,7)&lt;Inputs!$B$6,1,0),0)</f>
        <v>3</v>
      </c>
      <c r="AS66" s="19" t="n">
        <f aca="false">AS65+IF($B66=1,IF(MOD(4-$D66,7)&lt;Inputs!$B$6,1,0),0)</f>
        <v>2</v>
      </c>
      <c r="AT66" s="19" t="n">
        <f aca="false">AT65+IF($B66=1,IF(MOD(5-$D66,7)&lt;Inputs!$B$6,1,0),0)</f>
        <v>3</v>
      </c>
      <c r="AU66" s="19" t="n">
        <f aca="false">AU65+IF($B66=1,IF(MOD(6-$D66,7)&lt;Inputs!$B$6,1,0),0)</f>
        <v>4</v>
      </c>
    </row>
    <row r="67" customFormat="false" ht="15" hidden="false" customHeight="false" outlineLevel="0" collapsed="false">
      <c r="A67" s="0" t="n">
        <v>62</v>
      </c>
      <c r="B67" s="0" t="n">
        <f aca="false">IF(A67&lt;=Inputs!$B$3,1,0)</f>
        <v>0</v>
      </c>
      <c r="C67" s="0" t="n">
        <f aca="false">MOD(5+MOD(A67-1,7),7)</f>
        <v>3</v>
      </c>
      <c r="D67" s="0" t="n">
        <f aca="false">IF(Inputs!C84&lt;&gt;"",MATCH(Inputs!C84,Inputs!$A$11:$A$17,0)-1,IF(B67=0,0,MATCH(MIN(AH67:AN67),AH67:AN67,0)-1))</f>
        <v>0</v>
      </c>
      <c r="F67" s="0" t="n">
        <f aca="false">IF(OR($B67=0,F$3=0),0,IF(MOD(0-$D67,7)&lt;Inputs!$B$6,0,1))</f>
        <v>0</v>
      </c>
      <c r="G67" s="0" t="n">
        <f aca="false">IF(OR($B67=0,G$3=0),0,IF(MOD(1-$D67,7)&lt;Inputs!$B$6,0,1))</f>
        <v>0</v>
      </c>
      <c r="H67" s="0" t="n">
        <f aca="false">IF(OR($B67=0,H$3=0),0,IF(MOD(2-$D67,7)&lt;Inputs!$B$6,0,1))</f>
        <v>0</v>
      </c>
      <c r="I67" s="0" t="n">
        <f aca="false">IF(OR($B67=0,I$3=0),0,IF(MOD(3-$D67,7)&lt;Inputs!$B$6,0,1))</f>
        <v>0</v>
      </c>
      <c r="J67" s="0" t="n">
        <f aca="false">IF(OR($B67=0,J$3=0),0,IF(MOD(4-$D67,7)&lt;Inputs!$B$6,0,1))</f>
        <v>0</v>
      </c>
      <c r="K67" s="0" t="n">
        <f aca="false">IF(OR($B67=0,K$3=0),0,IF(MOD(5-$D67,7)&lt;Inputs!$B$6,0,1))</f>
        <v>0</v>
      </c>
      <c r="L67" s="0" t="n">
        <f aca="false">IF(OR($B67=0,L$3=0),0,IF(MOD(6-$D67,7)&lt;Inputs!$B$6,0,1))</f>
        <v>0</v>
      </c>
      <c r="M67" s="0" t="n">
        <f aca="false">SUM(F$6:F67)</f>
        <v>7</v>
      </c>
      <c r="N67" s="0" t="n">
        <f aca="false">SUM(G$6:G67)</f>
        <v>7</v>
      </c>
      <c r="O67" s="0" t="n">
        <f aca="false">SUM(H$6:H67)</f>
        <v>8</v>
      </c>
      <c r="P67" s="0" t="n">
        <f aca="false">SUM(I$6:I67)</f>
        <v>7</v>
      </c>
      <c r="Q67" s="0" t="n">
        <f aca="false">SUM(J$6:J67)</f>
        <v>8</v>
      </c>
      <c r="R67" s="0" t="n">
        <f aca="false">SUM(K$6:K67)</f>
        <v>7</v>
      </c>
      <c r="S67" s="0" t="n">
        <f aca="false">SUM(L$6:L67)</f>
        <v>6</v>
      </c>
      <c r="T67" s="18" t="n">
        <f aca="false">IF(F67=0,0,IF(Inputs!$D84="Open",F$1,IF(Inputs!$D84="Close",ROUND(F$2*1440-F$3*60,0)/1440,IF(OR(INT((M67-1)/Inputs!$B$7)=0,(INT((M$3-1-MOD(M67-1,Inputs!$B$7))/Inputs!$B$7)+1)&lt;=1),F$1,IF(INT((M67-1)/Inputs!$B$7)&gt;=(INT((M$3-1-MOD(M67-1,Inputs!$B$7))/Inputs!$B$7)+1)-1,ROUND(F$2*1440-F$3*60,0)/1440,MAX(F$1,MIN(ROUND(F$2*1440-F$3*60,0)/1440,ROUND((F$1+INT((M67-1)/Inputs!$B$7)/((INT((M$3-1-MOD(M67-1,Inputs!$B$7))/Inputs!$B$7)+1)-1)*((ROUND(F$2*1440-F$3*60,0)/1440)-F$1))*96,0)/96)))))))</f>
        <v>0</v>
      </c>
      <c r="U67" s="18" t="n">
        <f aca="false">IF(G67=0,0,IF(Inputs!$D84="Open",G$1,IF(Inputs!$D84="Close",ROUND(G$2*1440-G$3*60,0)/1440,IF(OR(INT((N67-1)/Inputs!$B$7)=0,(INT((N$3-1-MOD(N67-1,Inputs!$B$7))/Inputs!$B$7)+1)&lt;=1),G$1,IF(INT((N67-1)/Inputs!$B$7)&gt;=(INT((N$3-1-MOD(N67-1,Inputs!$B$7))/Inputs!$B$7)+1)-1,ROUND(G$2*1440-G$3*60,0)/1440,MAX(G$1,MIN(ROUND(G$2*1440-G$3*60,0)/1440,ROUND((G$1+INT((N67-1)/Inputs!$B$7)/((INT((N$3-1-MOD(N67-1,Inputs!$B$7))/Inputs!$B$7)+1)-1)*((ROUND(G$2*1440-G$3*60,0)/1440)-G$1))*96,0)/96)))))))</f>
        <v>0</v>
      </c>
      <c r="V67" s="18" t="n">
        <f aca="false">IF(H67=0,0,IF(Inputs!$D84="Open",H$1,IF(Inputs!$D84="Close",ROUND(H$2*1440-H$3*60,0)/1440,IF(OR(INT((O67-1)/Inputs!$B$7)=0,(INT((O$3-1-MOD(O67-1,Inputs!$B$7))/Inputs!$B$7)+1)&lt;=1),H$1,IF(INT((O67-1)/Inputs!$B$7)&gt;=(INT((O$3-1-MOD(O67-1,Inputs!$B$7))/Inputs!$B$7)+1)-1,ROUND(H$2*1440-H$3*60,0)/1440,MAX(H$1,MIN(ROUND(H$2*1440-H$3*60,0)/1440,ROUND((H$1+INT((O67-1)/Inputs!$B$7)/((INT((O$3-1-MOD(O67-1,Inputs!$B$7))/Inputs!$B$7)+1)-1)*((ROUND(H$2*1440-H$3*60,0)/1440)-H$1))*96,0)/96)))))))</f>
        <v>0</v>
      </c>
      <c r="W67" s="18" t="n">
        <f aca="false">IF(I67=0,0,IF(Inputs!$D84="Open",I$1,IF(Inputs!$D84="Close",ROUND(I$2*1440-I$3*60,0)/1440,IF(OR(INT((P67-1)/Inputs!$B$7)=0,(INT((P$3-1-MOD(P67-1,Inputs!$B$7))/Inputs!$B$7)+1)&lt;=1),I$1,IF(INT((P67-1)/Inputs!$B$7)&gt;=(INT((P$3-1-MOD(P67-1,Inputs!$B$7))/Inputs!$B$7)+1)-1,ROUND(I$2*1440-I$3*60,0)/1440,MAX(I$1,MIN(ROUND(I$2*1440-I$3*60,0)/1440,ROUND((I$1+INT((P67-1)/Inputs!$B$7)/((INT((P$3-1-MOD(P67-1,Inputs!$B$7))/Inputs!$B$7)+1)-1)*((ROUND(I$2*1440-I$3*60,0)/1440)-I$1))*96,0)/96)))))))</f>
        <v>0</v>
      </c>
      <c r="X67" s="18" t="n">
        <f aca="false">IF(J67=0,0,IF(Inputs!$D84="Open",J$1,IF(Inputs!$D84="Close",ROUND(J$2*1440-J$3*60,0)/1440,IF(OR(INT((Q67-1)/Inputs!$B$7)=0,(INT((Q$3-1-MOD(Q67-1,Inputs!$B$7))/Inputs!$B$7)+1)&lt;=1),J$1,IF(INT((Q67-1)/Inputs!$B$7)&gt;=(INT((Q$3-1-MOD(Q67-1,Inputs!$B$7))/Inputs!$B$7)+1)-1,ROUND(J$2*1440-J$3*60,0)/1440,MAX(J$1,MIN(ROUND(J$2*1440-J$3*60,0)/1440,ROUND((J$1+INT((Q67-1)/Inputs!$B$7)/((INT((Q$3-1-MOD(Q67-1,Inputs!$B$7))/Inputs!$B$7)+1)-1)*((ROUND(J$2*1440-J$3*60,0)/1440)-J$1))*96,0)/96)))))))</f>
        <v>0</v>
      </c>
      <c r="Y67" s="18" t="n">
        <f aca="false">IF(K67=0,0,IF(Inputs!$D84="Open",K$1,IF(Inputs!$D84="Close",ROUND(K$2*1440-K$3*60,0)/1440,IF(OR(INT((R67-1)/Inputs!$B$7)=0,(INT((R$3-1-MOD(R67-1,Inputs!$B$7))/Inputs!$B$7)+1)&lt;=1),K$1,IF(INT((R67-1)/Inputs!$B$7)&gt;=(INT((R$3-1-MOD(R67-1,Inputs!$B$7))/Inputs!$B$7)+1)-1,ROUND(K$2*1440-K$3*60,0)/1440,MAX(K$1,MIN(ROUND(K$2*1440-K$3*60,0)/1440,ROUND((K$1+INT((R67-1)/Inputs!$B$7)/((INT((R$3-1-MOD(R67-1,Inputs!$B$7))/Inputs!$B$7)+1)-1)*((ROUND(K$2*1440-K$3*60,0)/1440)-K$1))*96,0)/96)))))))</f>
        <v>0</v>
      </c>
      <c r="Z67" s="18" t="n">
        <f aca="false">IF(L67=0,0,IF(Inputs!$D84="Open",L$1,IF(Inputs!$D84="Close",ROUND(L$2*1440-L$3*60,0)/1440,IF(OR(INT((S67-1)/Inputs!$B$7)=0,(INT((S$3-1-MOD(S67-1,Inputs!$B$7))/Inputs!$B$7)+1)&lt;=1),L$1,IF(INT((S67-1)/Inputs!$B$7)&gt;=(INT((S$3-1-MOD(S67-1,Inputs!$B$7))/Inputs!$B$7)+1)-1,ROUND(L$2*1440-L$3*60,0)/1440,MAX(L$1,MIN(ROUND(L$2*1440-L$3*60,0)/1440,ROUND((L$1+INT((S67-1)/Inputs!$B$7)/((INT((S$3-1-MOD(S67-1,Inputs!$B$7))/Inputs!$B$7)+1)-1)*((ROUND(L$2*1440-L$3*60,0)/1440)-L$1))*96,0)/96)))))))</f>
        <v>0</v>
      </c>
      <c r="AA67" s="18" t="n">
        <f aca="false">IF(F67=0,0,ROUND(T67*1440+F$3*60,0)/1440)</f>
        <v>0</v>
      </c>
      <c r="AB67" s="18" t="n">
        <f aca="false">IF(G67=0,0,ROUND(U67*1440+G$3*60,0)/1440)</f>
        <v>0</v>
      </c>
      <c r="AC67" s="18" t="n">
        <f aca="false">IF(H67=0,0,ROUND(V67*1440+H$3*60,0)/1440)</f>
        <v>0</v>
      </c>
      <c r="AD67" s="18" t="n">
        <f aca="false">IF(I67=0,0,ROUND(W67*1440+I$3*60,0)/1440)</f>
        <v>0</v>
      </c>
      <c r="AE67" s="18" t="n">
        <f aca="false">IF(J67=0,0,ROUND(X67*1440+J$3*60,0)/1440)</f>
        <v>0</v>
      </c>
      <c r="AF67" s="18" t="n">
        <f aca="false">IF(K67=0,0,ROUND(Y67*1440+K$3*60,0)/1440)</f>
        <v>0</v>
      </c>
      <c r="AG67" s="18" t="n">
        <f aca="false">IF(L67=0,0,ROUND(Z67*1440+L$3*60,0)/1440)</f>
        <v>0</v>
      </c>
      <c r="AH67" s="19" t="n">
        <f aca="false">SUMPRODUCT((MOD(AO$1:AU$1-0,7)&lt;Inputs!$B$6)*AO$2:AU$2*(AO66:AU66+1))*100+MOD(0-5,7)</f>
        <v>1602</v>
      </c>
      <c r="AI67" s="19" t="n">
        <f aca="false">SUMPRODUCT((MOD(AO$1:AU$1-1,7)&lt;Inputs!$B$6)*AO$2:AU$2*(AO66:AU66+1))*100+MOD(1-5,7)</f>
        <v>1403</v>
      </c>
      <c r="AJ67" s="19" t="n">
        <f aca="false">SUMPRODUCT((MOD(AO$1:AU$1-2,7)&lt;Inputs!$B$6)*AO$2:AU$2*(AO66:AU66+1))*100+MOD(2-5,7)</f>
        <v>1404</v>
      </c>
      <c r="AK67" s="19" t="n">
        <f aca="false">SUMPRODUCT((MOD(AO$1:AU$1-3,7)&lt;Inputs!$B$6)*AO$2:AU$2*(AO66:AU66+1))*100+MOD(3-5,7)</f>
        <v>1405</v>
      </c>
      <c r="AL67" s="19" t="n">
        <f aca="false">SUMPRODUCT((MOD(AO$1:AU$1-4,7)&lt;Inputs!$B$6)*AO$2:AU$2*(AO66:AU66+1))*100+MOD(4-5,7)</f>
        <v>1406</v>
      </c>
      <c r="AM67" s="19" t="n">
        <f aca="false">SUMPRODUCT((MOD(AO$1:AU$1-5,7)&lt;Inputs!$B$6)*AO$2:AU$2*(AO66:AU66+1))*100+MOD(5-5,7)</f>
        <v>1800</v>
      </c>
      <c r="AN67" s="19" t="n">
        <f aca="false">SUMPRODUCT((MOD(AO$1:AU$1-6,7)&lt;Inputs!$B$6)*AO$2:AU$2*(AO66:AU66+1))*100+MOD(6-5,7)</f>
        <v>1801</v>
      </c>
      <c r="AO67" s="19" t="n">
        <f aca="false">AO66+IF($B67=1,IF(MOD(0-$D67,7)&lt;Inputs!$B$6,1,0),0)</f>
        <v>3</v>
      </c>
      <c r="AP67" s="19" t="n">
        <f aca="false">AP66+IF($B67=1,IF(MOD(1-$D67,7)&lt;Inputs!$B$6,1,0),0)</f>
        <v>3</v>
      </c>
      <c r="AQ67" s="19" t="n">
        <f aca="false">AQ66+IF($B67=1,IF(MOD(2-$D67,7)&lt;Inputs!$B$6,1,0),0)</f>
        <v>2</v>
      </c>
      <c r="AR67" s="19" t="n">
        <f aca="false">AR66+IF($B67=1,IF(MOD(3-$D67,7)&lt;Inputs!$B$6,1,0),0)</f>
        <v>3</v>
      </c>
      <c r="AS67" s="19" t="n">
        <f aca="false">AS66+IF($B67=1,IF(MOD(4-$D67,7)&lt;Inputs!$B$6,1,0),0)</f>
        <v>2</v>
      </c>
      <c r="AT67" s="19" t="n">
        <f aca="false">AT66+IF($B67=1,IF(MOD(5-$D67,7)&lt;Inputs!$B$6,1,0),0)</f>
        <v>3</v>
      </c>
      <c r="AU67" s="19" t="n">
        <f aca="false">AU66+IF($B67=1,IF(MOD(6-$D67,7)&lt;Inputs!$B$6,1,0),0)</f>
        <v>4</v>
      </c>
    </row>
    <row r="68" customFormat="false" ht="15" hidden="false" customHeight="false" outlineLevel="0" collapsed="false">
      <c r="A68" s="0" t="n">
        <v>63</v>
      </c>
      <c r="B68" s="0" t="n">
        <f aca="false">IF(A68&lt;=Inputs!$B$3,1,0)</f>
        <v>0</v>
      </c>
      <c r="C68" s="0" t="n">
        <f aca="false">MOD(5+MOD(A68-1,7),7)</f>
        <v>4</v>
      </c>
      <c r="D68" s="0" t="n">
        <f aca="false">IF(Inputs!C85&lt;&gt;"",MATCH(Inputs!C85,Inputs!$A$11:$A$17,0)-1,IF(B68=0,0,MATCH(MIN(AH68:AN68),AH68:AN68,0)-1))</f>
        <v>0</v>
      </c>
      <c r="F68" s="0" t="n">
        <f aca="false">IF(OR($B68=0,F$3=0),0,IF(MOD(0-$D68,7)&lt;Inputs!$B$6,0,1))</f>
        <v>0</v>
      </c>
      <c r="G68" s="0" t="n">
        <f aca="false">IF(OR($B68=0,G$3=0),0,IF(MOD(1-$D68,7)&lt;Inputs!$B$6,0,1))</f>
        <v>0</v>
      </c>
      <c r="H68" s="0" t="n">
        <f aca="false">IF(OR($B68=0,H$3=0),0,IF(MOD(2-$D68,7)&lt;Inputs!$B$6,0,1))</f>
        <v>0</v>
      </c>
      <c r="I68" s="0" t="n">
        <f aca="false">IF(OR($B68=0,I$3=0),0,IF(MOD(3-$D68,7)&lt;Inputs!$B$6,0,1))</f>
        <v>0</v>
      </c>
      <c r="J68" s="0" t="n">
        <f aca="false">IF(OR($B68=0,J$3=0),0,IF(MOD(4-$D68,7)&lt;Inputs!$B$6,0,1))</f>
        <v>0</v>
      </c>
      <c r="K68" s="0" t="n">
        <f aca="false">IF(OR($B68=0,K$3=0),0,IF(MOD(5-$D68,7)&lt;Inputs!$B$6,0,1))</f>
        <v>0</v>
      </c>
      <c r="L68" s="0" t="n">
        <f aca="false">IF(OR($B68=0,L$3=0),0,IF(MOD(6-$D68,7)&lt;Inputs!$B$6,0,1))</f>
        <v>0</v>
      </c>
      <c r="M68" s="0" t="n">
        <f aca="false">SUM(F$6:F68)</f>
        <v>7</v>
      </c>
      <c r="N68" s="0" t="n">
        <f aca="false">SUM(G$6:G68)</f>
        <v>7</v>
      </c>
      <c r="O68" s="0" t="n">
        <f aca="false">SUM(H$6:H68)</f>
        <v>8</v>
      </c>
      <c r="P68" s="0" t="n">
        <f aca="false">SUM(I$6:I68)</f>
        <v>7</v>
      </c>
      <c r="Q68" s="0" t="n">
        <f aca="false">SUM(J$6:J68)</f>
        <v>8</v>
      </c>
      <c r="R68" s="0" t="n">
        <f aca="false">SUM(K$6:K68)</f>
        <v>7</v>
      </c>
      <c r="S68" s="0" t="n">
        <f aca="false">SUM(L$6:L68)</f>
        <v>6</v>
      </c>
      <c r="T68" s="18" t="n">
        <f aca="false">IF(F68=0,0,IF(Inputs!$D85="Open",F$1,IF(Inputs!$D85="Close",ROUND(F$2*1440-F$3*60,0)/1440,IF(OR(INT((M68-1)/Inputs!$B$7)=0,(INT((M$3-1-MOD(M68-1,Inputs!$B$7))/Inputs!$B$7)+1)&lt;=1),F$1,IF(INT((M68-1)/Inputs!$B$7)&gt;=(INT((M$3-1-MOD(M68-1,Inputs!$B$7))/Inputs!$B$7)+1)-1,ROUND(F$2*1440-F$3*60,0)/1440,MAX(F$1,MIN(ROUND(F$2*1440-F$3*60,0)/1440,ROUND((F$1+INT((M68-1)/Inputs!$B$7)/((INT((M$3-1-MOD(M68-1,Inputs!$B$7))/Inputs!$B$7)+1)-1)*((ROUND(F$2*1440-F$3*60,0)/1440)-F$1))*96,0)/96)))))))</f>
        <v>0</v>
      </c>
      <c r="U68" s="18" t="n">
        <f aca="false">IF(G68=0,0,IF(Inputs!$D85="Open",G$1,IF(Inputs!$D85="Close",ROUND(G$2*1440-G$3*60,0)/1440,IF(OR(INT((N68-1)/Inputs!$B$7)=0,(INT((N$3-1-MOD(N68-1,Inputs!$B$7))/Inputs!$B$7)+1)&lt;=1),G$1,IF(INT((N68-1)/Inputs!$B$7)&gt;=(INT((N$3-1-MOD(N68-1,Inputs!$B$7))/Inputs!$B$7)+1)-1,ROUND(G$2*1440-G$3*60,0)/1440,MAX(G$1,MIN(ROUND(G$2*1440-G$3*60,0)/1440,ROUND((G$1+INT((N68-1)/Inputs!$B$7)/((INT((N$3-1-MOD(N68-1,Inputs!$B$7))/Inputs!$B$7)+1)-1)*((ROUND(G$2*1440-G$3*60,0)/1440)-G$1))*96,0)/96)))))))</f>
        <v>0</v>
      </c>
      <c r="V68" s="18" t="n">
        <f aca="false">IF(H68=0,0,IF(Inputs!$D85="Open",H$1,IF(Inputs!$D85="Close",ROUND(H$2*1440-H$3*60,0)/1440,IF(OR(INT((O68-1)/Inputs!$B$7)=0,(INT((O$3-1-MOD(O68-1,Inputs!$B$7))/Inputs!$B$7)+1)&lt;=1),H$1,IF(INT((O68-1)/Inputs!$B$7)&gt;=(INT((O$3-1-MOD(O68-1,Inputs!$B$7))/Inputs!$B$7)+1)-1,ROUND(H$2*1440-H$3*60,0)/1440,MAX(H$1,MIN(ROUND(H$2*1440-H$3*60,0)/1440,ROUND((H$1+INT((O68-1)/Inputs!$B$7)/((INT((O$3-1-MOD(O68-1,Inputs!$B$7))/Inputs!$B$7)+1)-1)*((ROUND(H$2*1440-H$3*60,0)/1440)-H$1))*96,0)/96)))))))</f>
        <v>0</v>
      </c>
      <c r="W68" s="18" t="n">
        <f aca="false">IF(I68=0,0,IF(Inputs!$D85="Open",I$1,IF(Inputs!$D85="Close",ROUND(I$2*1440-I$3*60,0)/1440,IF(OR(INT((P68-1)/Inputs!$B$7)=0,(INT((P$3-1-MOD(P68-1,Inputs!$B$7))/Inputs!$B$7)+1)&lt;=1),I$1,IF(INT((P68-1)/Inputs!$B$7)&gt;=(INT((P$3-1-MOD(P68-1,Inputs!$B$7))/Inputs!$B$7)+1)-1,ROUND(I$2*1440-I$3*60,0)/1440,MAX(I$1,MIN(ROUND(I$2*1440-I$3*60,0)/1440,ROUND((I$1+INT((P68-1)/Inputs!$B$7)/((INT((P$3-1-MOD(P68-1,Inputs!$B$7))/Inputs!$B$7)+1)-1)*((ROUND(I$2*1440-I$3*60,0)/1440)-I$1))*96,0)/96)))))))</f>
        <v>0</v>
      </c>
      <c r="X68" s="18" t="n">
        <f aca="false">IF(J68=0,0,IF(Inputs!$D85="Open",J$1,IF(Inputs!$D85="Close",ROUND(J$2*1440-J$3*60,0)/1440,IF(OR(INT((Q68-1)/Inputs!$B$7)=0,(INT((Q$3-1-MOD(Q68-1,Inputs!$B$7))/Inputs!$B$7)+1)&lt;=1),J$1,IF(INT((Q68-1)/Inputs!$B$7)&gt;=(INT((Q$3-1-MOD(Q68-1,Inputs!$B$7))/Inputs!$B$7)+1)-1,ROUND(J$2*1440-J$3*60,0)/1440,MAX(J$1,MIN(ROUND(J$2*1440-J$3*60,0)/1440,ROUND((J$1+INT((Q68-1)/Inputs!$B$7)/((INT((Q$3-1-MOD(Q68-1,Inputs!$B$7))/Inputs!$B$7)+1)-1)*((ROUND(J$2*1440-J$3*60,0)/1440)-J$1))*96,0)/96)))))))</f>
        <v>0</v>
      </c>
      <c r="Y68" s="18" t="n">
        <f aca="false">IF(K68=0,0,IF(Inputs!$D85="Open",K$1,IF(Inputs!$D85="Close",ROUND(K$2*1440-K$3*60,0)/1440,IF(OR(INT((R68-1)/Inputs!$B$7)=0,(INT((R$3-1-MOD(R68-1,Inputs!$B$7))/Inputs!$B$7)+1)&lt;=1),K$1,IF(INT((R68-1)/Inputs!$B$7)&gt;=(INT((R$3-1-MOD(R68-1,Inputs!$B$7))/Inputs!$B$7)+1)-1,ROUND(K$2*1440-K$3*60,0)/1440,MAX(K$1,MIN(ROUND(K$2*1440-K$3*60,0)/1440,ROUND((K$1+INT((R68-1)/Inputs!$B$7)/((INT((R$3-1-MOD(R68-1,Inputs!$B$7))/Inputs!$B$7)+1)-1)*((ROUND(K$2*1440-K$3*60,0)/1440)-K$1))*96,0)/96)))))))</f>
        <v>0</v>
      </c>
      <c r="Z68" s="18" t="n">
        <f aca="false">IF(L68=0,0,IF(Inputs!$D85="Open",L$1,IF(Inputs!$D85="Close",ROUND(L$2*1440-L$3*60,0)/1440,IF(OR(INT((S68-1)/Inputs!$B$7)=0,(INT((S$3-1-MOD(S68-1,Inputs!$B$7))/Inputs!$B$7)+1)&lt;=1),L$1,IF(INT((S68-1)/Inputs!$B$7)&gt;=(INT((S$3-1-MOD(S68-1,Inputs!$B$7))/Inputs!$B$7)+1)-1,ROUND(L$2*1440-L$3*60,0)/1440,MAX(L$1,MIN(ROUND(L$2*1440-L$3*60,0)/1440,ROUND((L$1+INT((S68-1)/Inputs!$B$7)/((INT((S$3-1-MOD(S68-1,Inputs!$B$7))/Inputs!$B$7)+1)-1)*((ROUND(L$2*1440-L$3*60,0)/1440)-L$1))*96,0)/96)))))))</f>
        <v>0</v>
      </c>
      <c r="AA68" s="18" t="n">
        <f aca="false">IF(F68=0,0,ROUND(T68*1440+F$3*60,0)/1440)</f>
        <v>0</v>
      </c>
      <c r="AB68" s="18" t="n">
        <f aca="false">IF(G68=0,0,ROUND(U68*1440+G$3*60,0)/1440)</f>
        <v>0</v>
      </c>
      <c r="AC68" s="18" t="n">
        <f aca="false">IF(H68=0,0,ROUND(V68*1440+H$3*60,0)/1440)</f>
        <v>0</v>
      </c>
      <c r="AD68" s="18" t="n">
        <f aca="false">IF(I68=0,0,ROUND(W68*1440+I$3*60,0)/1440)</f>
        <v>0</v>
      </c>
      <c r="AE68" s="18" t="n">
        <f aca="false">IF(J68=0,0,ROUND(X68*1440+J$3*60,0)/1440)</f>
        <v>0</v>
      </c>
      <c r="AF68" s="18" t="n">
        <f aca="false">IF(K68=0,0,ROUND(Y68*1440+K$3*60,0)/1440)</f>
        <v>0</v>
      </c>
      <c r="AG68" s="18" t="n">
        <f aca="false">IF(L68=0,0,ROUND(Z68*1440+L$3*60,0)/1440)</f>
        <v>0</v>
      </c>
      <c r="AH68" s="19" t="n">
        <f aca="false">SUMPRODUCT((MOD(AO$1:AU$1-0,7)&lt;Inputs!$B$6)*AO$2:AU$2*(AO67:AU67+1))*100+MOD(0-5,7)</f>
        <v>1602</v>
      </c>
      <c r="AI68" s="19" t="n">
        <f aca="false">SUMPRODUCT((MOD(AO$1:AU$1-1,7)&lt;Inputs!$B$6)*AO$2:AU$2*(AO67:AU67+1))*100+MOD(1-5,7)</f>
        <v>1403</v>
      </c>
      <c r="AJ68" s="19" t="n">
        <f aca="false">SUMPRODUCT((MOD(AO$1:AU$1-2,7)&lt;Inputs!$B$6)*AO$2:AU$2*(AO67:AU67+1))*100+MOD(2-5,7)</f>
        <v>1404</v>
      </c>
      <c r="AK68" s="19" t="n">
        <f aca="false">SUMPRODUCT((MOD(AO$1:AU$1-3,7)&lt;Inputs!$B$6)*AO$2:AU$2*(AO67:AU67+1))*100+MOD(3-5,7)</f>
        <v>1405</v>
      </c>
      <c r="AL68" s="19" t="n">
        <f aca="false">SUMPRODUCT((MOD(AO$1:AU$1-4,7)&lt;Inputs!$B$6)*AO$2:AU$2*(AO67:AU67+1))*100+MOD(4-5,7)</f>
        <v>1406</v>
      </c>
      <c r="AM68" s="19" t="n">
        <f aca="false">SUMPRODUCT((MOD(AO$1:AU$1-5,7)&lt;Inputs!$B$6)*AO$2:AU$2*(AO67:AU67+1))*100+MOD(5-5,7)</f>
        <v>1800</v>
      </c>
      <c r="AN68" s="19" t="n">
        <f aca="false">SUMPRODUCT((MOD(AO$1:AU$1-6,7)&lt;Inputs!$B$6)*AO$2:AU$2*(AO67:AU67+1))*100+MOD(6-5,7)</f>
        <v>1801</v>
      </c>
      <c r="AO68" s="19" t="n">
        <f aca="false">AO67+IF($B68=1,IF(MOD(0-$D68,7)&lt;Inputs!$B$6,1,0),0)</f>
        <v>3</v>
      </c>
      <c r="AP68" s="19" t="n">
        <f aca="false">AP67+IF($B68=1,IF(MOD(1-$D68,7)&lt;Inputs!$B$6,1,0),0)</f>
        <v>3</v>
      </c>
      <c r="AQ68" s="19" t="n">
        <f aca="false">AQ67+IF($B68=1,IF(MOD(2-$D68,7)&lt;Inputs!$B$6,1,0),0)</f>
        <v>2</v>
      </c>
      <c r="AR68" s="19" t="n">
        <f aca="false">AR67+IF($B68=1,IF(MOD(3-$D68,7)&lt;Inputs!$B$6,1,0),0)</f>
        <v>3</v>
      </c>
      <c r="AS68" s="19" t="n">
        <f aca="false">AS67+IF($B68=1,IF(MOD(4-$D68,7)&lt;Inputs!$B$6,1,0),0)</f>
        <v>2</v>
      </c>
      <c r="AT68" s="19" t="n">
        <f aca="false">AT67+IF($B68=1,IF(MOD(5-$D68,7)&lt;Inputs!$B$6,1,0),0)</f>
        <v>3</v>
      </c>
      <c r="AU68" s="19" t="n">
        <f aca="false">AU67+IF($B68=1,IF(MOD(6-$D68,7)&lt;Inputs!$B$6,1,0),0)</f>
        <v>4</v>
      </c>
    </row>
    <row r="69" customFormat="false" ht="15" hidden="false" customHeight="false" outlineLevel="0" collapsed="false">
      <c r="A69" s="0" t="n">
        <v>64</v>
      </c>
      <c r="B69" s="0" t="n">
        <f aca="false">IF(A69&lt;=Inputs!$B$3,1,0)</f>
        <v>0</v>
      </c>
      <c r="C69" s="0" t="n">
        <f aca="false">MOD(5+MOD(A69-1,7),7)</f>
        <v>5</v>
      </c>
      <c r="D69" s="0" t="n">
        <f aca="false">IF(Inputs!C86&lt;&gt;"",MATCH(Inputs!C86,Inputs!$A$11:$A$17,0)-1,IF(B69=0,0,MATCH(MIN(AH69:AN69),AH69:AN69,0)-1))</f>
        <v>0</v>
      </c>
      <c r="F69" s="0" t="n">
        <f aca="false">IF(OR($B69=0,F$3=0),0,IF(MOD(0-$D69,7)&lt;Inputs!$B$6,0,1))</f>
        <v>0</v>
      </c>
      <c r="G69" s="0" t="n">
        <f aca="false">IF(OR($B69=0,G$3=0),0,IF(MOD(1-$D69,7)&lt;Inputs!$B$6,0,1))</f>
        <v>0</v>
      </c>
      <c r="H69" s="0" t="n">
        <f aca="false">IF(OR($B69=0,H$3=0),0,IF(MOD(2-$D69,7)&lt;Inputs!$B$6,0,1))</f>
        <v>0</v>
      </c>
      <c r="I69" s="0" t="n">
        <f aca="false">IF(OR($B69=0,I$3=0),0,IF(MOD(3-$D69,7)&lt;Inputs!$B$6,0,1))</f>
        <v>0</v>
      </c>
      <c r="J69" s="0" t="n">
        <f aca="false">IF(OR($B69=0,J$3=0),0,IF(MOD(4-$D69,7)&lt;Inputs!$B$6,0,1))</f>
        <v>0</v>
      </c>
      <c r="K69" s="0" t="n">
        <f aca="false">IF(OR($B69=0,K$3=0),0,IF(MOD(5-$D69,7)&lt;Inputs!$B$6,0,1))</f>
        <v>0</v>
      </c>
      <c r="L69" s="0" t="n">
        <f aca="false">IF(OR($B69=0,L$3=0),0,IF(MOD(6-$D69,7)&lt;Inputs!$B$6,0,1))</f>
        <v>0</v>
      </c>
      <c r="M69" s="0" t="n">
        <f aca="false">SUM(F$6:F69)</f>
        <v>7</v>
      </c>
      <c r="N69" s="0" t="n">
        <f aca="false">SUM(G$6:G69)</f>
        <v>7</v>
      </c>
      <c r="O69" s="0" t="n">
        <f aca="false">SUM(H$6:H69)</f>
        <v>8</v>
      </c>
      <c r="P69" s="0" t="n">
        <f aca="false">SUM(I$6:I69)</f>
        <v>7</v>
      </c>
      <c r="Q69" s="0" t="n">
        <f aca="false">SUM(J$6:J69)</f>
        <v>8</v>
      </c>
      <c r="R69" s="0" t="n">
        <f aca="false">SUM(K$6:K69)</f>
        <v>7</v>
      </c>
      <c r="S69" s="0" t="n">
        <f aca="false">SUM(L$6:L69)</f>
        <v>6</v>
      </c>
      <c r="T69" s="18" t="n">
        <f aca="false">IF(F69=0,0,IF(Inputs!$D86="Open",F$1,IF(Inputs!$D86="Close",ROUND(F$2*1440-F$3*60,0)/1440,IF(OR(INT((M69-1)/Inputs!$B$7)=0,(INT((M$3-1-MOD(M69-1,Inputs!$B$7))/Inputs!$B$7)+1)&lt;=1),F$1,IF(INT((M69-1)/Inputs!$B$7)&gt;=(INT((M$3-1-MOD(M69-1,Inputs!$B$7))/Inputs!$B$7)+1)-1,ROUND(F$2*1440-F$3*60,0)/1440,MAX(F$1,MIN(ROUND(F$2*1440-F$3*60,0)/1440,ROUND((F$1+INT((M69-1)/Inputs!$B$7)/((INT((M$3-1-MOD(M69-1,Inputs!$B$7))/Inputs!$B$7)+1)-1)*((ROUND(F$2*1440-F$3*60,0)/1440)-F$1))*96,0)/96)))))))</f>
        <v>0</v>
      </c>
      <c r="U69" s="18" t="n">
        <f aca="false">IF(G69=0,0,IF(Inputs!$D86="Open",G$1,IF(Inputs!$D86="Close",ROUND(G$2*1440-G$3*60,0)/1440,IF(OR(INT((N69-1)/Inputs!$B$7)=0,(INT((N$3-1-MOD(N69-1,Inputs!$B$7))/Inputs!$B$7)+1)&lt;=1),G$1,IF(INT((N69-1)/Inputs!$B$7)&gt;=(INT((N$3-1-MOD(N69-1,Inputs!$B$7))/Inputs!$B$7)+1)-1,ROUND(G$2*1440-G$3*60,0)/1440,MAX(G$1,MIN(ROUND(G$2*1440-G$3*60,0)/1440,ROUND((G$1+INT((N69-1)/Inputs!$B$7)/((INT((N$3-1-MOD(N69-1,Inputs!$B$7))/Inputs!$B$7)+1)-1)*((ROUND(G$2*1440-G$3*60,0)/1440)-G$1))*96,0)/96)))))))</f>
        <v>0</v>
      </c>
      <c r="V69" s="18" t="n">
        <f aca="false">IF(H69=0,0,IF(Inputs!$D86="Open",H$1,IF(Inputs!$D86="Close",ROUND(H$2*1440-H$3*60,0)/1440,IF(OR(INT((O69-1)/Inputs!$B$7)=0,(INT((O$3-1-MOD(O69-1,Inputs!$B$7))/Inputs!$B$7)+1)&lt;=1),H$1,IF(INT((O69-1)/Inputs!$B$7)&gt;=(INT((O$3-1-MOD(O69-1,Inputs!$B$7))/Inputs!$B$7)+1)-1,ROUND(H$2*1440-H$3*60,0)/1440,MAX(H$1,MIN(ROUND(H$2*1440-H$3*60,0)/1440,ROUND((H$1+INT((O69-1)/Inputs!$B$7)/((INT((O$3-1-MOD(O69-1,Inputs!$B$7))/Inputs!$B$7)+1)-1)*((ROUND(H$2*1440-H$3*60,0)/1440)-H$1))*96,0)/96)))))))</f>
        <v>0</v>
      </c>
      <c r="W69" s="18" t="n">
        <f aca="false">IF(I69=0,0,IF(Inputs!$D86="Open",I$1,IF(Inputs!$D86="Close",ROUND(I$2*1440-I$3*60,0)/1440,IF(OR(INT((P69-1)/Inputs!$B$7)=0,(INT((P$3-1-MOD(P69-1,Inputs!$B$7))/Inputs!$B$7)+1)&lt;=1),I$1,IF(INT((P69-1)/Inputs!$B$7)&gt;=(INT((P$3-1-MOD(P69-1,Inputs!$B$7))/Inputs!$B$7)+1)-1,ROUND(I$2*1440-I$3*60,0)/1440,MAX(I$1,MIN(ROUND(I$2*1440-I$3*60,0)/1440,ROUND((I$1+INT((P69-1)/Inputs!$B$7)/((INT((P$3-1-MOD(P69-1,Inputs!$B$7))/Inputs!$B$7)+1)-1)*((ROUND(I$2*1440-I$3*60,0)/1440)-I$1))*96,0)/96)))))))</f>
        <v>0</v>
      </c>
      <c r="X69" s="18" t="n">
        <f aca="false">IF(J69=0,0,IF(Inputs!$D86="Open",J$1,IF(Inputs!$D86="Close",ROUND(J$2*1440-J$3*60,0)/1440,IF(OR(INT((Q69-1)/Inputs!$B$7)=0,(INT((Q$3-1-MOD(Q69-1,Inputs!$B$7))/Inputs!$B$7)+1)&lt;=1),J$1,IF(INT((Q69-1)/Inputs!$B$7)&gt;=(INT((Q$3-1-MOD(Q69-1,Inputs!$B$7))/Inputs!$B$7)+1)-1,ROUND(J$2*1440-J$3*60,0)/1440,MAX(J$1,MIN(ROUND(J$2*1440-J$3*60,0)/1440,ROUND((J$1+INT((Q69-1)/Inputs!$B$7)/((INT((Q$3-1-MOD(Q69-1,Inputs!$B$7))/Inputs!$B$7)+1)-1)*((ROUND(J$2*1440-J$3*60,0)/1440)-J$1))*96,0)/96)))))))</f>
        <v>0</v>
      </c>
      <c r="Y69" s="18" t="n">
        <f aca="false">IF(K69=0,0,IF(Inputs!$D86="Open",K$1,IF(Inputs!$D86="Close",ROUND(K$2*1440-K$3*60,0)/1440,IF(OR(INT((R69-1)/Inputs!$B$7)=0,(INT((R$3-1-MOD(R69-1,Inputs!$B$7))/Inputs!$B$7)+1)&lt;=1),K$1,IF(INT((R69-1)/Inputs!$B$7)&gt;=(INT((R$3-1-MOD(R69-1,Inputs!$B$7))/Inputs!$B$7)+1)-1,ROUND(K$2*1440-K$3*60,0)/1440,MAX(K$1,MIN(ROUND(K$2*1440-K$3*60,0)/1440,ROUND((K$1+INT((R69-1)/Inputs!$B$7)/((INT((R$3-1-MOD(R69-1,Inputs!$B$7))/Inputs!$B$7)+1)-1)*((ROUND(K$2*1440-K$3*60,0)/1440)-K$1))*96,0)/96)))))))</f>
        <v>0</v>
      </c>
      <c r="Z69" s="18" t="n">
        <f aca="false">IF(L69=0,0,IF(Inputs!$D86="Open",L$1,IF(Inputs!$D86="Close",ROUND(L$2*1440-L$3*60,0)/1440,IF(OR(INT((S69-1)/Inputs!$B$7)=0,(INT((S$3-1-MOD(S69-1,Inputs!$B$7))/Inputs!$B$7)+1)&lt;=1),L$1,IF(INT((S69-1)/Inputs!$B$7)&gt;=(INT((S$3-1-MOD(S69-1,Inputs!$B$7))/Inputs!$B$7)+1)-1,ROUND(L$2*1440-L$3*60,0)/1440,MAX(L$1,MIN(ROUND(L$2*1440-L$3*60,0)/1440,ROUND((L$1+INT((S69-1)/Inputs!$B$7)/((INT((S$3-1-MOD(S69-1,Inputs!$B$7))/Inputs!$B$7)+1)-1)*((ROUND(L$2*1440-L$3*60,0)/1440)-L$1))*96,0)/96)))))))</f>
        <v>0</v>
      </c>
      <c r="AA69" s="18" t="n">
        <f aca="false">IF(F69=0,0,ROUND(T69*1440+F$3*60,0)/1440)</f>
        <v>0</v>
      </c>
      <c r="AB69" s="18" t="n">
        <f aca="false">IF(G69=0,0,ROUND(U69*1440+G$3*60,0)/1440)</f>
        <v>0</v>
      </c>
      <c r="AC69" s="18" t="n">
        <f aca="false">IF(H69=0,0,ROUND(V69*1440+H$3*60,0)/1440)</f>
        <v>0</v>
      </c>
      <c r="AD69" s="18" t="n">
        <f aca="false">IF(I69=0,0,ROUND(W69*1440+I$3*60,0)/1440)</f>
        <v>0</v>
      </c>
      <c r="AE69" s="18" t="n">
        <f aca="false">IF(J69=0,0,ROUND(X69*1440+J$3*60,0)/1440)</f>
        <v>0</v>
      </c>
      <c r="AF69" s="18" t="n">
        <f aca="false">IF(K69=0,0,ROUND(Y69*1440+K$3*60,0)/1440)</f>
        <v>0</v>
      </c>
      <c r="AG69" s="18" t="n">
        <f aca="false">IF(L69=0,0,ROUND(Z69*1440+L$3*60,0)/1440)</f>
        <v>0</v>
      </c>
      <c r="AH69" s="19" t="n">
        <f aca="false">SUMPRODUCT((MOD(AO$1:AU$1-0,7)&lt;Inputs!$B$6)*AO$2:AU$2*(AO68:AU68+1))*100+MOD(0-5,7)</f>
        <v>1602</v>
      </c>
      <c r="AI69" s="19" t="n">
        <f aca="false">SUMPRODUCT((MOD(AO$1:AU$1-1,7)&lt;Inputs!$B$6)*AO$2:AU$2*(AO68:AU68+1))*100+MOD(1-5,7)</f>
        <v>1403</v>
      </c>
      <c r="AJ69" s="19" t="n">
        <f aca="false">SUMPRODUCT((MOD(AO$1:AU$1-2,7)&lt;Inputs!$B$6)*AO$2:AU$2*(AO68:AU68+1))*100+MOD(2-5,7)</f>
        <v>1404</v>
      </c>
      <c r="AK69" s="19" t="n">
        <f aca="false">SUMPRODUCT((MOD(AO$1:AU$1-3,7)&lt;Inputs!$B$6)*AO$2:AU$2*(AO68:AU68+1))*100+MOD(3-5,7)</f>
        <v>1405</v>
      </c>
      <c r="AL69" s="19" t="n">
        <f aca="false">SUMPRODUCT((MOD(AO$1:AU$1-4,7)&lt;Inputs!$B$6)*AO$2:AU$2*(AO68:AU68+1))*100+MOD(4-5,7)</f>
        <v>1406</v>
      </c>
      <c r="AM69" s="19" t="n">
        <f aca="false">SUMPRODUCT((MOD(AO$1:AU$1-5,7)&lt;Inputs!$B$6)*AO$2:AU$2*(AO68:AU68+1))*100+MOD(5-5,7)</f>
        <v>1800</v>
      </c>
      <c r="AN69" s="19" t="n">
        <f aca="false">SUMPRODUCT((MOD(AO$1:AU$1-6,7)&lt;Inputs!$B$6)*AO$2:AU$2*(AO68:AU68+1))*100+MOD(6-5,7)</f>
        <v>1801</v>
      </c>
      <c r="AO69" s="19" t="n">
        <f aca="false">AO68+IF($B69=1,IF(MOD(0-$D69,7)&lt;Inputs!$B$6,1,0),0)</f>
        <v>3</v>
      </c>
      <c r="AP69" s="19" t="n">
        <f aca="false">AP68+IF($B69=1,IF(MOD(1-$D69,7)&lt;Inputs!$B$6,1,0),0)</f>
        <v>3</v>
      </c>
      <c r="AQ69" s="19" t="n">
        <f aca="false">AQ68+IF($B69=1,IF(MOD(2-$D69,7)&lt;Inputs!$B$6,1,0),0)</f>
        <v>2</v>
      </c>
      <c r="AR69" s="19" t="n">
        <f aca="false">AR68+IF($B69=1,IF(MOD(3-$D69,7)&lt;Inputs!$B$6,1,0),0)</f>
        <v>3</v>
      </c>
      <c r="AS69" s="19" t="n">
        <f aca="false">AS68+IF($B69=1,IF(MOD(4-$D69,7)&lt;Inputs!$B$6,1,0),0)</f>
        <v>2</v>
      </c>
      <c r="AT69" s="19" t="n">
        <f aca="false">AT68+IF($B69=1,IF(MOD(5-$D69,7)&lt;Inputs!$B$6,1,0),0)</f>
        <v>3</v>
      </c>
      <c r="AU69" s="19" t="n">
        <f aca="false">AU68+IF($B69=1,IF(MOD(6-$D69,7)&lt;Inputs!$B$6,1,0),0)</f>
        <v>4</v>
      </c>
    </row>
    <row r="70" customFormat="false" ht="15" hidden="false" customHeight="false" outlineLevel="0" collapsed="false">
      <c r="A70" s="0" t="n">
        <v>65</v>
      </c>
      <c r="B70" s="0" t="n">
        <f aca="false">IF(A70&lt;=Inputs!$B$3,1,0)</f>
        <v>0</v>
      </c>
      <c r="C70" s="0" t="n">
        <f aca="false">MOD(5+MOD(A70-1,7),7)</f>
        <v>6</v>
      </c>
      <c r="D70" s="0" t="n">
        <f aca="false">IF(Inputs!C87&lt;&gt;"",MATCH(Inputs!C87,Inputs!$A$11:$A$17,0)-1,IF(B70=0,0,MATCH(MIN(AH70:AN70),AH70:AN70,0)-1))</f>
        <v>0</v>
      </c>
      <c r="F70" s="0" t="n">
        <f aca="false">IF(OR($B70=0,F$3=0),0,IF(MOD(0-$D70,7)&lt;Inputs!$B$6,0,1))</f>
        <v>0</v>
      </c>
      <c r="G70" s="0" t="n">
        <f aca="false">IF(OR($B70=0,G$3=0),0,IF(MOD(1-$D70,7)&lt;Inputs!$B$6,0,1))</f>
        <v>0</v>
      </c>
      <c r="H70" s="0" t="n">
        <f aca="false">IF(OR($B70=0,H$3=0),0,IF(MOD(2-$D70,7)&lt;Inputs!$B$6,0,1))</f>
        <v>0</v>
      </c>
      <c r="I70" s="0" t="n">
        <f aca="false">IF(OR($B70=0,I$3=0),0,IF(MOD(3-$D70,7)&lt;Inputs!$B$6,0,1))</f>
        <v>0</v>
      </c>
      <c r="J70" s="0" t="n">
        <f aca="false">IF(OR($B70=0,J$3=0),0,IF(MOD(4-$D70,7)&lt;Inputs!$B$6,0,1))</f>
        <v>0</v>
      </c>
      <c r="K70" s="0" t="n">
        <f aca="false">IF(OR($B70=0,K$3=0),0,IF(MOD(5-$D70,7)&lt;Inputs!$B$6,0,1))</f>
        <v>0</v>
      </c>
      <c r="L70" s="0" t="n">
        <f aca="false">IF(OR($B70=0,L$3=0),0,IF(MOD(6-$D70,7)&lt;Inputs!$B$6,0,1))</f>
        <v>0</v>
      </c>
      <c r="M70" s="0" t="n">
        <f aca="false">SUM(F$6:F70)</f>
        <v>7</v>
      </c>
      <c r="N70" s="0" t="n">
        <f aca="false">SUM(G$6:G70)</f>
        <v>7</v>
      </c>
      <c r="O70" s="0" t="n">
        <f aca="false">SUM(H$6:H70)</f>
        <v>8</v>
      </c>
      <c r="P70" s="0" t="n">
        <f aca="false">SUM(I$6:I70)</f>
        <v>7</v>
      </c>
      <c r="Q70" s="0" t="n">
        <f aca="false">SUM(J$6:J70)</f>
        <v>8</v>
      </c>
      <c r="R70" s="0" t="n">
        <f aca="false">SUM(K$6:K70)</f>
        <v>7</v>
      </c>
      <c r="S70" s="0" t="n">
        <f aca="false">SUM(L$6:L70)</f>
        <v>6</v>
      </c>
      <c r="T70" s="18" t="n">
        <f aca="false">IF(F70=0,0,IF(Inputs!$D87="Open",F$1,IF(Inputs!$D87="Close",ROUND(F$2*1440-F$3*60,0)/1440,IF(OR(INT((M70-1)/Inputs!$B$7)=0,(INT((M$3-1-MOD(M70-1,Inputs!$B$7))/Inputs!$B$7)+1)&lt;=1),F$1,IF(INT((M70-1)/Inputs!$B$7)&gt;=(INT((M$3-1-MOD(M70-1,Inputs!$B$7))/Inputs!$B$7)+1)-1,ROUND(F$2*1440-F$3*60,0)/1440,MAX(F$1,MIN(ROUND(F$2*1440-F$3*60,0)/1440,ROUND((F$1+INT((M70-1)/Inputs!$B$7)/((INT((M$3-1-MOD(M70-1,Inputs!$B$7))/Inputs!$B$7)+1)-1)*((ROUND(F$2*1440-F$3*60,0)/1440)-F$1))*96,0)/96)))))))</f>
        <v>0</v>
      </c>
      <c r="U70" s="18" t="n">
        <f aca="false">IF(G70=0,0,IF(Inputs!$D87="Open",G$1,IF(Inputs!$D87="Close",ROUND(G$2*1440-G$3*60,0)/1440,IF(OR(INT((N70-1)/Inputs!$B$7)=0,(INT((N$3-1-MOD(N70-1,Inputs!$B$7))/Inputs!$B$7)+1)&lt;=1),G$1,IF(INT((N70-1)/Inputs!$B$7)&gt;=(INT((N$3-1-MOD(N70-1,Inputs!$B$7))/Inputs!$B$7)+1)-1,ROUND(G$2*1440-G$3*60,0)/1440,MAX(G$1,MIN(ROUND(G$2*1440-G$3*60,0)/1440,ROUND((G$1+INT((N70-1)/Inputs!$B$7)/((INT((N$3-1-MOD(N70-1,Inputs!$B$7))/Inputs!$B$7)+1)-1)*((ROUND(G$2*1440-G$3*60,0)/1440)-G$1))*96,0)/96)))))))</f>
        <v>0</v>
      </c>
      <c r="V70" s="18" t="n">
        <f aca="false">IF(H70=0,0,IF(Inputs!$D87="Open",H$1,IF(Inputs!$D87="Close",ROUND(H$2*1440-H$3*60,0)/1440,IF(OR(INT((O70-1)/Inputs!$B$7)=0,(INT((O$3-1-MOD(O70-1,Inputs!$B$7))/Inputs!$B$7)+1)&lt;=1),H$1,IF(INT((O70-1)/Inputs!$B$7)&gt;=(INT((O$3-1-MOD(O70-1,Inputs!$B$7))/Inputs!$B$7)+1)-1,ROUND(H$2*1440-H$3*60,0)/1440,MAX(H$1,MIN(ROUND(H$2*1440-H$3*60,0)/1440,ROUND((H$1+INT((O70-1)/Inputs!$B$7)/((INT((O$3-1-MOD(O70-1,Inputs!$B$7))/Inputs!$B$7)+1)-1)*((ROUND(H$2*1440-H$3*60,0)/1440)-H$1))*96,0)/96)))))))</f>
        <v>0</v>
      </c>
      <c r="W70" s="18" t="n">
        <f aca="false">IF(I70=0,0,IF(Inputs!$D87="Open",I$1,IF(Inputs!$D87="Close",ROUND(I$2*1440-I$3*60,0)/1440,IF(OR(INT((P70-1)/Inputs!$B$7)=0,(INT((P$3-1-MOD(P70-1,Inputs!$B$7))/Inputs!$B$7)+1)&lt;=1),I$1,IF(INT((P70-1)/Inputs!$B$7)&gt;=(INT((P$3-1-MOD(P70-1,Inputs!$B$7))/Inputs!$B$7)+1)-1,ROUND(I$2*1440-I$3*60,0)/1440,MAX(I$1,MIN(ROUND(I$2*1440-I$3*60,0)/1440,ROUND((I$1+INT((P70-1)/Inputs!$B$7)/((INT((P$3-1-MOD(P70-1,Inputs!$B$7))/Inputs!$B$7)+1)-1)*((ROUND(I$2*1440-I$3*60,0)/1440)-I$1))*96,0)/96)))))))</f>
        <v>0</v>
      </c>
      <c r="X70" s="18" t="n">
        <f aca="false">IF(J70=0,0,IF(Inputs!$D87="Open",J$1,IF(Inputs!$D87="Close",ROUND(J$2*1440-J$3*60,0)/1440,IF(OR(INT((Q70-1)/Inputs!$B$7)=0,(INT((Q$3-1-MOD(Q70-1,Inputs!$B$7))/Inputs!$B$7)+1)&lt;=1),J$1,IF(INT((Q70-1)/Inputs!$B$7)&gt;=(INT((Q$3-1-MOD(Q70-1,Inputs!$B$7))/Inputs!$B$7)+1)-1,ROUND(J$2*1440-J$3*60,0)/1440,MAX(J$1,MIN(ROUND(J$2*1440-J$3*60,0)/1440,ROUND((J$1+INT((Q70-1)/Inputs!$B$7)/((INT((Q$3-1-MOD(Q70-1,Inputs!$B$7))/Inputs!$B$7)+1)-1)*((ROUND(J$2*1440-J$3*60,0)/1440)-J$1))*96,0)/96)))))))</f>
        <v>0</v>
      </c>
      <c r="Y70" s="18" t="n">
        <f aca="false">IF(K70=0,0,IF(Inputs!$D87="Open",K$1,IF(Inputs!$D87="Close",ROUND(K$2*1440-K$3*60,0)/1440,IF(OR(INT((R70-1)/Inputs!$B$7)=0,(INT((R$3-1-MOD(R70-1,Inputs!$B$7))/Inputs!$B$7)+1)&lt;=1),K$1,IF(INT((R70-1)/Inputs!$B$7)&gt;=(INT((R$3-1-MOD(R70-1,Inputs!$B$7))/Inputs!$B$7)+1)-1,ROUND(K$2*1440-K$3*60,0)/1440,MAX(K$1,MIN(ROUND(K$2*1440-K$3*60,0)/1440,ROUND((K$1+INT((R70-1)/Inputs!$B$7)/((INT((R$3-1-MOD(R70-1,Inputs!$B$7))/Inputs!$B$7)+1)-1)*((ROUND(K$2*1440-K$3*60,0)/1440)-K$1))*96,0)/96)))))))</f>
        <v>0</v>
      </c>
      <c r="Z70" s="18" t="n">
        <f aca="false">IF(L70=0,0,IF(Inputs!$D87="Open",L$1,IF(Inputs!$D87="Close",ROUND(L$2*1440-L$3*60,0)/1440,IF(OR(INT((S70-1)/Inputs!$B$7)=0,(INT((S$3-1-MOD(S70-1,Inputs!$B$7))/Inputs!$B$7)+1)&lt;=1),L$1,IF(INT((S70-1)/Inputs!$B$7)&gt;=(INT((S$3-1-MOD(S70-1,Inputs!$B$7))/Inputs!$B$7)+1)-1,ROUND(L$2*1440-L$3*60,0)/1440,MAX(L$1,MIN(ROUND(L$2*1440-L$3*60,0)/1440,ROUND((L$1+INT((S70-1)/Inputs!$B$7)/((INT((S$3-1-MOD(S70-1,Inputs!$B$7))/Inputs!$B$7)+1)-1)*((ROUND(L$2*1440-L$3*60,0)/1440)-L$1))*96,0)/96)))))))</f>
        <v>0</v>
      </c>
      <c r="AA70" s="18" t="n">
        <f aca="false">IF(F70=0,0,ROUND(T70*1440+F$3*60,0)/1440)</f>
        <v>0</v>
      </c>
      <c r="AB70" s="18" t="n">
        <f aca="false">IF(G70=0,0,ROUND(U70*1440+G$3*60,0)/1440)</f>
        <v>0</v>
      </c>
      <c r="AC70" s="18" t="n">
        <f aca="false">IF(H70=0,0,ROUND(V70*1440+H$3*60,0)/1440)</f>
        <v>0</v>
      </c>
      <c r="AD70" s="18" t="n">
        <f aca="false">IF(I70=0,0,ROUND(W70*1440+I$3*60,0)/1440)</f>
        <v>0</v>
      </c>
      <c r="AE70" s="18" t="n">
        <f aca="false">IF(J70=0,0,ROUND(X70*1440+J$3*60,0)/1440)</f>
        <v>0</v>
      </c>
      <c r="AF70" s="18" t="n">
        <f aca="false">IF(K70=0,0,ROUND(Y70*1440+K$3*60,0)/1440)</f>
        <v>0</v>
      </c>
      <c r="AG70" s="18" t="n">
        <f aca="false">IF(L70=0,0,ROUND(Z70*1440+L$3*60,0)/1440)</f>
        <v>0</v>
      </c>
      <c r="AH70" s="19" t="n">
        <f aca="false">SUMPRODUCT((MOD(AO$1:AU$1-0,7)&lt;Inputs!$B$6)*AO$2:AU$2*(AO69:AU69+1))*100+MOD(0-5,7)</f>
        <v>1602</v>
      </c>
      <c r="AI70" s="19" t="n">
        <f aca="false">SUMPRODUCT((MOD(AO$1:AU$1-1,7)&lt;Inputs!$B$6)*AO$2:AU$2*(AO69:AU69+1))*100+MOD(1-5,7)</f>
        <v>1403</v>
      </c>
      <c r="AJ70" s="19" t="n">
        <f aca="false">SUMPRODUCT((MOD(AO$1:AU$1-2,7)&lt;Inputs!$B$6)*AO$2:AU$2*(AO69:AU69+1))*100+MOD(2-5,7)</f>
        <v>1404</v>
      </c>
      <c r="AK70" s="19" t="n">
        <f aca="false">SUMPRODUCT((MOD(AO$1:AU$1-3,7)&lt;Inputs!$B$6)*AO$2:AU$2*(AO69:AU69+1))*100+MOD(3-5,7)</f>
        <v>1405</v>
      </c>
      <c r="AL70" s="19" t="n">
        <f aca="false">SUMPRODUCT((MOD(AO$1:AU$1-4,7)&lt;Inputs!$B$6)*AO$2:AU$2*(AO69:AU69+1))*100+MOD(4-5,7)</f>
        <v>1406</v>
      </c>
      <c r="AM70" s="19" t="n">
        <f aca="false">SUMPRODUCT((MOD(AO$1:AU$1-5,7)&lt;Inputs!$B$6)*AO$2:AU$2*(AO69:AU69+1))*100+MOD(5-5,7)</f>
        <v>1800</v>
      </c>
      <c r="AN70" s="19" t="n">
        <f aca="false">SUMPRODUCT((MOD(AO$1:AU$1-6,7)&lt;Inputs!$B$6)*AO$2:AU$2*(AO69:AU69+1))*100+MOD(6-5,7)</f>
        <v>1801</v>
      </c>
      <c r="AO70" s="19" t="n">
        <f aca="false">AO69+IF($B70=1,IF(MOD(0-$D70,7)&lt;Inputs!$B$6,1,0),0)</f>
        <v>3</v>
      </c>
      <c r="AP70" s="19" t="n">
        <f aca="false">AP69+IF($B70=1,IF(MOD(1-$D70,7)&lt;Inputs!$B$6,1,0),0)</f>
        <v>3</v>
      </c>
      <c r="AQ70" s="19" t="n">
        <f aca="false">AQ69+IF($B70=1,IF(MOD(2-$D70,7)&lt;Inputs!$B$6,1,0),0)</f>
        <v>2</v>
      </c>
      <c r="AR70" s="19" t="n">
        <f aca="false">AR69+IF($B70=1,IF(MOD(3-$D70,7)&lt;Inputs!$B$6,1,0),0)</f>
        <v>3</v>
      </c>
      <c r="AS70" s="19" t="n">
        <f aca="false">AS69+IF($B70=1,IF(MOD(4-$D70,7)&lt;Inputs!$B$6,1,0),0)</f>
        <v>2</v>
      </c>
      <c r="AT70" s="19" t="n">
        <f aca="false">AT69+IF($B70=1,IF(MOD(5-$D70,7)&lt;Inputs!$B$6,1,0),0)</f>
        <v>3</v>
      </c>
      <c r="AU70" s="19" t="n">
        <f aca="false">AU69+IF($B70=1,IF(MOD(6-$D70,7)&lt;Inputs!$B$6,1,0),0)</f>
        <v>4</v>
      </c>
    </row>
    <row r="71" customFormat="false" ht="15" hidden="false" customHeight="false" outlineLevel="0" collapsed="false">
      <c r="A71" s="0" t="n">
        <v>66</v>
      </c>
      <c r="B71" s="0" t="n">
        <f aca="false">IF(A71&lt;=Inputs!$B$3,1,0)</f>
        <v>0</v>
      </c>
      <c r="C71" s="0" t="n">
        <f aca="false">MOD(5+MOD(A71-1,7),7)</f>
        <v>0</v>
      </c>
      <c r="D71" s="0" t="n">
        <f aca="false">IF(Inputs!C88&lt;&gt;"",MATCH(Inputs!C88,Inputs!$A$11:$A$17,0)-1,IF(B71=0,0,MATCH(MIN(AH71:AN71),AH71:AN71,0)-1))</f>
        <v>0</v>
      </c>
      <c r="F71" s="0" t="n">
        <f aca="false">IF(OR($B71=0,F$3=0),0,IF(MOD(0-$D71,7)&lt;Inputs!$B$6,0,1))</f>
        <v>0</v>
      </c>
      <c r="G71" s="0" t="n">
        <f aca="false">IF(OR($B71=0,G$3=0),0,IF(MOD(1-$D71,7)&lt;Inputs!$B$6,0,1))</f>
        <v>0</v>
      </c>
      <c r="H71" s="0" t="n">
        <f aca="false">IF(OR($B71=0,H$3=0),0,IF(MOD(2-$D71,7)&lt;Inputs!$B$6,0,1))</f>
        <v>0</v>
      </c>
      <c r="I71" s="0" t="n">
        <f aca="false">IF(OR($B71=0,I$3=0),0,IF(MOD(3-$D71,7)&lt;Inputs!$B$6,0,1))</f>
        <v>0</v>
      </c>
      <c r="J71" s="0" t="n">
        <f aca="false">IF(OR($B71=0,J$3=0),0,IF(MOD(4-$D71,7)&lt;Inputs!$B$6,0,1))</f>
        <v>0</v>
      </c>
      <c r="K71" s="0" t="n">
        <f aca="false">IF(OR($B71=0,K$3=0),0,IF(MOD(5-$D71,7)&lt;Inputs!$B$6,0,1))</f>
        <v>0</v>
      </c>
      <c r="L71" s="0" t="n">
        <f aca="false">IF(OR($B71=0,L$3=0),0,IF(MOD(6-$D71,7)&lt;Inputs!$B$6,0,1))</f>
        <v>0</v>
      </c>
      <c r="M71" s="0" t="n">
        <f aca="false">SUM(F$6:F71)</f>
        <v>7</v>
      </c>
      <c r="N71" s="0" t="n">
        <f aca="false">SUM(G$6:G71)</f>
        <v>7</v>
      </c>
      <c r="O71" s="0" t="n">
        <f aca="false">SUM(H$6:H71)</f>
        <v>8</v>
      </c>
      <c r="P71" s="0" t="n">
        <f aca="false">SUM(I$6:I71)</f>
        <v>7</v>
      </c>
      <c r="Q71" s="0" t="n">
        <f aca="false">SUM(J$6:J71)</f>
        <v>8</v>
      </c>
      <c r="R71" s="0" t="n">
        <f aca="false">SUM(K$6:K71)</f>
        <v>7</v>
      </c>
      <c r="S71" s="0" t="n">
        <f aca="false">SUM(L$6:L71)</f>
        <v>6</v>
      </c>
      <c r="T71" s="18" t="n">
        <f aca="false">IF(F71=0,0,IF(Inputs!$D88="Open",F$1,IF(Inputs!$D88="Close",ROUND(F$2*1440-F$3*60,0)/1440,IF(OR(INT((M71-1)/Inputs!$B$7)=0,(INT((M$3-1-MOD(M71-1,Inputs!$B$7))/Inputs!$B$7)+1)&lt;=1),F$1,IF(INT((M71-1)/Inputs!$B$7)&gt;=(INT((M$3-1-MOD(M71-1,Inputs!$B$7))/Inputs!$B$7)+1)-1,ROUND(F$2*1440-F$3*60,0)/1440,MAX(F$1,MIN(ROUND(F$2*1440-F$3*60,0)/1440,ROUND((F$1+INT((M71-1)/Inputs!$B$7)/((INT((M$3-1-MOD(M71-1,Inputs!$B$7))/Inputs!$B$7)+1)-1)*((ROUND(F$2*1440-F$3*60,0)/1440)-F$1))*96,0)/96)))))))</f>
        <v>0</v>
      </c>
      <c r="U71" s="18" t="n">
        <f aca="false">IF(G71=0,0,IF(Inputs!$D88="Open",G$1,IF(Inputs!$D88="Close",ROUND(G$2*1440-G$3*60,0)/1440,IF(OR(INT((N71-1)/Inputs!$B$7)=0,(INT((N$3-1-MOD(N71-1,Inputs!$B$7))/Inputs!$B$7)+1)&lt;=1),G$1,IF(INT((N71-1)/Inputs!$B$7)&gt;=(INT((N$3-1-MOD(N71-1,Inputs!$B$7))/Inputs!$B$7)+1)-1,ROUND(G$2*1440-G$3*60,0)/1440,MAX(G$1,MIN(ROUND(G$2*1440-G$3*60,0)/1440,ROUND((G$1+INT((N71-1)/Inputs!$B$7)/((INT((N$3-1-MOD(N71-1,Inputs!$B$7))/Inputs!$B$7)+1)-1)*((ROUND(G$2*1440-G$3*60,0)/1440)-G$1))*96,0)/96)))))))</f>
        <v>0</v>
      </c>
      <c r="V71" s="18" t="n">
        <f aca="false">IF(H71=0,0,IF(Inputs!$D88="Open",H$1,IF(Inputs!$D88="Close",ROUND(H$2*1440-H$3*60,0)/1440,IF(OR(INT((O71-1)/Inputs!$B$7)=0,(INT((O$3-1-MOD(O71-1,Inputs!$B$7))/Inputs!$B$7)+1)&lt;=1),H$1,IF(INT((O71-1)/Inputs!$B$7)&gt;=(INT((O$3-1-MOD(O71-1,Inputs!$B$7))/Inputs!$B$7)+1)-1,ROUND(H$2*1440-H$3*60,0)/1440,MAX(H$1,MIN(ROUND(H$2*1440-H$3*60,0)/1440,ROUND((H$1+INT((O71-1)/Inputs!$B$7)/((INT((O$3-1-MOD(O71-1,Inputs!$B$7))/Inputs!$B$7)+1)-1)*((ROUND(H$2*1440-H$3*60,0)/1440)-H$1))*96,0)/96)))))))</f>
        <v>0</v>
      </c>
      <c r="W71" s="18" t="n">
        <f aca="false">IF(I71=0,0,IF(Inputs!$D88="Open",I$1,IF(Inputs!$D88="Close",ROUND(I$2*1440-I$3*60,0)/1440,IF(OR(INT((P71-1)/Inputs!$B$7)=0,(INT((P$3-1-MOD(P71-1,Inputs!$B$7))/Inputs!$B$7)+1)&lt;=1),I$1,IF(INT((P71-1)/Inputs!$B$7)&gt;=(INT((P$3-1-MOD(P71-1,Inputs!$B$7))/Inputs!$B$7)+1)-1,ROUND(I$2*1440-I$3*60,0)/1440,MAX(I$1,MIN(ROUND(I$2*1440-I$3*60,0)/1440,ROUND((I$1+INT((P71-1)/Inputs!$B$7)/((INT((P$3-1-MOD(P71-1,Inputs!$B$7))/Inputs!$B$7)+1)-1)*((ROUND(I$2*1440-I$3*60,0)/1440)-I$1))*96,0)/96)))))))</f>
        <v>0</v>
      </c>
      <c r="X71" s="18" t="n">
        <f aca="false">IF(J71=0,0,IF(Inputs!$D88="Open",J$1,IF(Inputs!$D88="Close",ROUND(J$2*1440-J$3*60,0)/1440,IF(OR(INT((Q71-1)/Inputs!$B$7)=0,(INT((Q$3-1-MOD(Q71-1,Inputs!$B$7))/Inputs!$B$7)+1)&lt;=1),J$1,IF(INT((Q71-1)/Inputs!$B$7)&gt;=(INT((Q$3-1-MOD(Q71-1,Inputs!$B$7))/Inputs!$B$7)+1)-1,ROUND(J$2*1440-J$3*60,0)/1440,MAX(J$1,MIN(ROUND(J$2*1440-J$3*60,0)/1440,ROUND((J$1+INT((Q71-1)/Inputs!$B$7)/((INT((Q$3-1-MOD(Q71-1,Inputs!$B$7))/Inputs!$B$7)+1)-1)*((ROUND(J$2*1440-J$3*60,0)/1440)-J$1))*96,0)/96)))))))</f>
        <v>0</v>
      </c>
      <c r="Y71" s="18" t="n">
        <f aca="false">IF(K71=0,0,IF(Inputs!$D88="Open",K$1,IF(Inputs!$D88="Close",ROUND(K$2*1440-K$3*60,0)/1440,IF(OR(INT((R71-1)/Inputs!$B$7)=0,(INT((R$3-1-MOD(R71-1,Inputs!$B$7))/Inputs!$B$7)+1)&lt;=1),K$1,IF(INT((R71-1)/Inputs!$B$7)&gt;=(INT((R$3-1-MOD(R71-1,Inputs!$B$7))/Inputs!$B$7)+1)-1,ROUND(K$2*1440-K$3*60,0)/1440,MAX(K$1,MIN(ROUND(K$2*1440-K$3*60,0)/1440,ROUND((K$1+INT((R71-1)/Inputs!$B$7)/((INT((R$3-1-MOD(R71-1,Inputs!$B$7))/Inputs!$B$7)+1)-1)*((ROUND(K$2*1440-K$3*60,0)/1440)-K$1))*96,0)/96)))))))</f>
        <v>0</v>
      </c>
      <c r="Z71" s="18" t="n">
        <f aca="false">IF(L71=0,0,IF(Inputs!$D88="Open",L$1,IF(Inputs!$D88="Close",ROUND(L$2*1440-L$3*60,0)/1440,IF(OR(INT((S71-1)/Inputs!$B$7)=0,(INT((S$3-1-MOD(S71-1,Inputs!$B$7))/Inputs!$B$7)+1)&lt;=1),L$1,IF(INT((S71-1)/Inputs!$B$7)&gt;=(INT((S$3-1-MOD(S71-1,Inputs!$B$7))/Inputs!$B$7)+1)-1,ROUND(L$2*1440-L$3*60,0)/1440,MAX(L$1,MIN(ROUND(L$2*1440-L$3*60,0)/1440,ROUND((L$1+INT((S71-1)/Inputs!$B$7)/((INT((S$3-1-MOD(S71-1,Inputs!$B$7))/Inputs!$B$7)+1)-1)*((ROUND(L$2*1440-L$3*60,0)/1440)-L$1))*96,0)/96)))))))</f>
        <v>0</v>
      </c>
      <c r="AA71" s="18" t="n">
        <f aca="false">IF(F71=0,0,ROUND(T71*1440+F$3*60,0)/1440)</f>
        <v>0</v>
      </c>
      <c r="AB71" s="18" t="n">
        <f aca="false">IF(G71=0,0,ROUND(U71*1440+G$3*60,0)/1440)</f>
        <v>0</v>
      </c>
      <c r="AC71" s="18" t="n">
        <f aca="false">IF(H71=0,0,ROUND(V71*1440+H$3*60,0)/1440)</f>
        <v>0</v>
      </c>
      <c r="AD71" s="18" t="n">
        <f aca="false">IF(I71=0,0,ROUND(W71*1440+I$3*60,0)/1440)</f>
        <v>0</v>
      </c>
      <c r="AE71" s="18" t="n">
        <f aca="false">IF(J71=0,0,ROUND(X71*1440+J$3*60,0)/1440)</f>
        <v>0</v>
      </c>
      <c r="AF71" s="18" t="n">
        <f aca="false">IF(K71=0,0,ROUND(Y71*1440+K$3*60,0)/1440)</f>
        <v>0</v>
      </c>
      <c r="AG71" s="18" t="n">
        <f aca="false">IF(L71=0,0,ROUND(Z71*1440+L$3*60,0)/1440)</f>
        <v>0</v>
      </c>
      <c r="AH71" s="19" t="n">
        <f aca="false">SUMPRODUCT((MOD(AO$1:AU$1-0,7)&lt;Inputs!$B$6)*AO$2:AU$2*(AO70:AU70+1))*100+MOD(0-5,7)</f>
        <v>1602</v>
      </c>
      <c r="AI71" s="19" t="n">
        <f aca="false">SUMPRODUCT((MOD(AO$1:AU$1-1,7)&lt;Inputs!$B$6)*AO$2:AU$2*(AO70:AU70+1))*100+MOD(1-5,7)</f>
        <v>1403</v>
      </c>
      <c r="AJ71" s="19" t="n">
        <f aca="false">SUMPRODUCT((MOD(AO$1:AU$1-2,7)&lt;Inputs!$B$6)*AO$2:AU$2*(AO70:AU70+1))*100+MOD(2-5,7)</f>
        <v>1404</v>
      </c>
      <c r="AK71" s="19" t="n">
        <f aca="false">SUMPRODUCT((MOD(AO$1:AU$1-3,7)&lt;Inputs!$B$6)*AO$2:AU$2*(AO70:AU70+1))*100+MOD(3-5,7)</f>
        <v>1405</v>
      </c>
      <c r="AL71" s="19" t="n">
        <f aca="false">SUMPRODUCT((MOD(AO$1:AU$1-4,7)&lt;Inputs!$B$6)*AO$2:AU$2*(AO70:AU70+1))*100+MOD(4-5,7)</f>
        <v>1406</v>
      </c>
      <c r="AM71" s="19" t="n">
        <f aca="false">SUMPRODUCT((MOD(AO$1:AU$1-5,7)&lt;Inputs!$B$6)*AO$2:AU$2*(AO70:AU70+1))*100+MOD(5-5,7)</f>
        <v>1800</v>
      </c>
      <c r="AN71" s="19" t="n">
        <f aca="false">SUMPRODUCT((MOD(AO$1:AU$1-6,7)&lt;Inputs!$B$6)*AO$2:AU$2*(AO70:AU70+1))*100+MOD(6-5,7)</f>
        <v>1801</v>
      </c>
      <c r="AO71" s="19" t="n">
        <f aca="false">AO70+IF($B71=1,IF(MOD(0-$D71,7)&lt;Inputs!$B$6,1,0),0)</f>
        <v>3</v>
      </c>
      <c r="AP71" s="19" t="n">
        <f aca="false">AP70+IF($B71=1,IF(MOD(1-$D71,7)&lt;Inputs!$B$6,1,0),0)</f>
        <v>3</v>
      </c>
      <c r="AQ71" s="19" t="n">
        <f aca="false">AQ70+IF($B71=1,IF(MOD(2-$D71,7)&lt;Inputs!$B$6,1,0),0)</f>
        <v>2</v>
      </c>
      <c r="AR71" s="19" t="n">
        <f aca="false">AR70+IF($B71=1,IF(MOD(3-$D71,7)&lt;Inputs!$B$6,1,0),0)</f>
        <v>3</v>
      </c>
      <c r="AS71" s="19" t="n">
        <f aca="false">AS70+IF($B71=1,IF(MOD(4-$D71,7)&lt;Inputs!$B$6,1,0),0)</f>
        <v>2</v>
      </c>
      <c r="AT71" s="19" t="n">
        <f aca="false">AT70+IF($B71=1,IF(MOD(5-$D71,7)&lt;Inputs!$B$6,1,0),0)</f>
        <v>3</v>
      </c>
      <c r="AU71" s="19" t="n">
        <f aca="false">AU70+IF($B71=1,IF(MOD(6-$D71,7)&lt;Inputs!$B$6,1,0),0)</f>
        <v>4</v>
      </c>
    </row>
    <row r="72" customFormat="false" ht="15" hidden="false" customHeight="false" outlineLevel="0" collapsed="false">
      <c r="A72" s="0" t="n">
        <v>67</v>
      </c>
      <c r="B72" s="0" t="n">
        <f aca="false">IF(A72&lt;=Inputs!$B$3,1,0)</f>
        <v>0</v>
      </c>
      <c r="C72" s="0" t="n">
        <f aca="false">MOD(5+MOD(A72-1,7),7)</f>
        <v>1</v>
      </c>
      <c r="D72" s="0" t="n">
        <f aca="false">IF(Inputs!C89&lt;&gt;"",MATCH(Inputs!C89,Inputs!$A$11:$A$17,0)-1,IF(B72=0,0,MATCH(MIN(AH72:AN72),AH72:AN72,0)-1))</f>
        <v>0</v>
      </c>
      <c r="F72" s="0" t="n">
        <f aca="false">IF(OR($B72=0,F$3=0),0,IF(MOD(0-$D72,7)&lt;Inputs!$B$6,0,1))</f>
        <v>0</v>
      </c>
      <c r="G72" s="0" t="n">
        <f aca="false">IF(OR($B72=0,G$3=0),0,IF(MOD(1-$D72,7)&lt;Inputs!$B$6,0,1))</f>
        <v>0</v>
      </c>
      <c r="H72" s="0" t="n">
        <f aca="false">IF(OR($B72=0,H$3=0),0,IF(MOD(2-$D72,7)&lt;Inputs!$B$6,0,1))</f>
        <v>0</v>
      </c>
      <c r="I72" s="0" t="n">
        <f aca="false">IF(OR($B72=0,I$3=0),0,IF(MOD(3-$D72,7)&lt;Inputs!$B$6,0,1))</f>
        <v>0</v>
      </c>
      <c r="J72" s="0" t="n">
        <f aca="false">IF(OR($B72=0,J$3=0),0,IF(MOD(4-$D72,7)&lt;Inputs!$B$6,0,1))</f>
        <v>0</v>
      </c>
      <c r="K72" s="0" t="n">
        <f aca="false">IF(OR($B72=0,K$3=0),0,IF(MOD(5-$D72,7)&lt;Inputs!$B$6,0,1))</f>
        <v>0</v>
      </c>
      <c r="L72" s="0" t="n">
        <f aca="false">IF(OR($B72=0,L$3=0),0,IF(MOD(6-$D72,7)&lt;Inputs!$B$6,0,1))</f>
        <v>0</v>
      </c>
      <c r="M72" s="0" t="n">
        <f aca="false">SUM(F$6:F72)</f>
        <v>7</v>
      </c>
      <c r="N72" s="0" t="n">
        <f aca="false">SUM(G$6:G72)</f>
        <v>7</v>
      </c>
      <c r="O72" s="0" t="n">
        <f aca="false">SUM(H$6:H72)</f>
        <v>8</v>
      </c>
      <c r="P72" s="0" t="n">
        <f aca="false">SUM(I$6:I72)</f>
        <v>7</v>
      </c>
      <c r="Q72" s="0" t="n">
        <f aca="false">SUM(J$6:J72)</f>
        <v>8</v>
      </c>
      <c r="R72" s="0" t="n">
        <f aca="false">SUM(K$6:K72)</f>
        <v>7</v>
      </c>
      <c r="S72" s="0" t="n">
        <f aca="false">SUM(L$6:L72)</f>
        <v>6</v>
      </c>
      <c r="T72" s="18" t="n">
        <f aca="false">IF(F72=0,0,IF(Inputs!$D89="Open",F$1,IF(Inputs!$D89="Close",ROUND(F$2*1440-F$3*60,0)/1440,IF(OR(INT((M72-1)/Inputs!$B$7)=0,(INT((M$3-1-MOD(M72-1,Inputs!$B$7))/Inputs!$B$7)+1)&lt;=1),F$1,IF(INT((M72-1)/Inputs!$B$7)&gt;=(INT((M$3-1-MOD(M72-1,Inputs!$B$7))/Inputs!$B$7)+1)-1,ROUND(F$2*1440-F$3*60,0)/1440,MAX(F$1,MIN(ROUND(F$2*1440-F$3*60,0)/1440,ROUND((F$1+INT((M72-1)/Inputs!$B$7)/((INT((M$3-1-MOD(M72-1,Inputs!$B$7))/Inputs!$B$7)+1)-1)*((ROUND(F$2*1440-F$3*60,0)/1440)-F$1))*96,0)/96)))))))</f>
        <v>0</v>
      </c>
      <c r="U72" s="18" t="n">
        <f aca="false">IF(G72=0,0,IF(Inputs!$D89="Open",G$1,IF(Inputs!$D89="Close",ROUND(G$2*1440-G$3*60,0)/1440,IF(OR(INT((N72-1)/Inputs!$B$7)=0,(INT((N$3-1-MOD(N72-1,Inputs!$B$7))/Inputs!$B$7)+1)&lt;=1),G$1,IF(INT((N72-1)/Inputs!$B$7)&gt;=(INT((N$3-1-MOD(N72-1,Inputs!$B$7))/Inputs!$B$7)+1)-1,ROUND(G$2*1440-G$3*60,0)/1440,MAX(G$1,MIN(ROUND(G$2*1440-G$3*60,0)/1440,ROUND((G$1+INT((N72-1)/Inputs!$B$7)/((INT((N$3-1-MOD(N72-1,Inputs!$B$7))/Inputs!$B$7)+1)-1)*((ROUND(G$2*1440-G$3*60,0)/1440)-G$1))*96,0)/96)))))))</f>
        <v>0</v>
      </c>
      <c r="V72" s="18" t="n">
        <f aca="false">IF(H72=0,0,IF(Inputs!$D89="Open",H$1,IF(Inputs!$D89="Close",ROUND(H$2*1440-H$3*60,0)/1440,IF(OR(INT((O72-1)/Inputs!$B$7)=0,(INT((O$3-1-MOD(O72-1,Inputs!$B$7))/Inputs!$B$7)+1)&lt;=1),H$1,IF(INT((O72-1)/Inputs!$B$7)&gt;=(INT((O$3-1-MOD(O72-1,Inputs!$B$7))/Inputs!$B$7)+1)-1,ROUND(H$2*1440-H$3*60,0)/1440,MAX(H$1,MIN(ROUND(H$2*1440-H$3*60,0)/1440,ROUND((H$1+INT((O72-1)/Inputs!$B$7)/((INT((O$3-1-MOD(O72-1,Inputs!$B$7))/Inputs!$B$7)+1)-1)*((ROUND(H$2*1440-H$3*60,0)/1440)-H$1))*96,0)/96)))))))</f>
        <v>0</v>
      </c>
      <c r="W72" s="18" t="n">
        <f aca="false">IF(I72=0,0,IF(Inputs!$D89="Open",I$1,IF(Inputs!$D89="Close",ROUND(I$2*1440-I$3*60,0)/1440,IF(OR(INT((P72-1)/Inputs!$B$7)=0,(INT((P$3-1-MOD(P72-1,Inputs!$B$7))/Inputs!$B$7)+1)&lt;=1),I$1,IF(INT((P72-1)/Inputs!$B$7)&gt;=(INT((P$3-1-MOD(P72-1,Inputs!$B$7))/Inputs!$B$7)+1)-1,ROUND(I$2*1440-I$3*60,0)/1440,MAX(I$1,MIN(ROUND(I$2*1440-I$3*60,0)/1440,ROUND((I$1+INT((P72-1)/Inputs!$B$7)/((INT((P$3-1-MOD(P72-1,Inputs!$B$7))/Inputs!$B$7)+1)-1)*((ROUND(I$2*1440-I$3*60,0)/1440)-I$1))*96,0)/96)))))))</f>
        <v>0</v>
      </c>
      <c r="X72" s="18" t="n">
        <f aca="false">IF(J72=0,0,IF(Inputs!$D89="Open",J$1,IF(Inputs!$D89="Close",ROUND(J$2*1440-J$3*60,0)/1440,IF(OR(INT((Q72-1)/Inputs!$B$7)=0,(INT((Q$3-1-MOD(Q72-1,Inputs!$B$7))/Inputs!$B$7)+1)&lt;=1),J$1,IF(INT((Q72-1)/Inputs!$B$7)&gt;=(INT((Q$3-1-MOD(Q72-1,Inputs!$B$7))/Inputs!$B$7)+1)-1,ROUND(J$2*1440-J$3*60,0)/1440,MAX(J$1,MIN(ROUND(J$2*1440-J$3*60,0)/1440,ROUND((J$1+INT((Q72-1)/Inputs!$B$7)/((INT((Q$3-1-MOD(Q72-1,Inputs!$B$7))/Inputs!$B$7)+1)-1)*((ROUND(J$2*1440-J$3*60,0)/1440)-J$1))*96,0)/96)))))))</f>
        <v>0</v>
      </c>
      <c r="Y72" s="18" t="n">
        <f aca="false">IF(K72=0,0,IF(Inputs!$D89="Open",K$1,IF(Inputs!$D89="Close",ROUND(K$2*1440-K$3*60,0)/1440,IF(OR(INT((R72-1)/Inputs!$B$7)=0,(INT((R$3-1-MOD(R72-1,Inputs!$B$7))/Inputs!$B$7)+1)&lt;=1),K$1,IF(INT((R72-1)/Inputs!$B$7)&gt;=(INT((R$3-1-MOD(R72-1,Inputs!$B$7))/Inputs!$B$7)+1)-1,ROUND(K$2*1440-K$3*60,0)/1440,MAX(K$1,MIN(ROUND(K$2*1440-K$3*60,0)/1440,ROUND((K$1+INT((R72-1)/Inputs!$B$7)/((INT((R$3-1-MOD(R72-1,Inputs!$B$7))/Inputs!$B$7)+1)-1)*((ROUND(K$2*1440-K$3*60,0)/1440)-K$1))*96,0)/96)))))))</f>
        <v>0</v>
      </c>
      <c r="Z72" s="18" t="n">
        <f aca="false">IF(L72=0,0,IF(Inputs!$D89="Open",L$1,IF(Inputs!$D89="Close",ROUND(L$2*1440-L$3*60,0)/1440,IF(OR(INT((S72-1)/Inputs!$B$7)=0,(INT((S$3-1-MOD(S72-1,Inputs!$B$7))/Inputs!$B$7)+1)&lt;=1),L$1,IF(INT((S72-1)/Inputs!$B$7)&gt;=(INT((S$3-1-MOD(S72-1,Inputs!$B$7))/Inputs!$B$7)+1)-1,ROUND(L$2*1440-L$3*60,0)/1440,MAX(L$1,MIN(ROUND(L$2*1440-L$3*60,0)/1440,ROUND((L$1+INT((S72-1)/Inputs!$B$7)/((INT((S$3-1-MOD(S72-1,Inputs!$B$7))/Inputs!$B$7)+1)-1)*((ROUND(L$2*1440-L$3*60,0)/1440)-L$1))*96,0)/96)))))))</f>
        <v>0</v>
      </c>
      <c r="AA72" s="18" t="n">
        <f aca="false">IF(F72=0,0,ROUND(T72*1440+F$3*60,0)/1440)</f>
        <v>0</v>
      </c>
      <c r="AB72" s="18" t="n">
        <f aca="false">IF(G72=0,0,ROUND(U72*1440+G$3*60,0)/1440)</f>
        <v>0</v>
      </c>
      <c r="AC72" s="18" t="n">
        <f aca="false">IF(H72=0,0,ROUND(V72*1440+H$3*60,0)/1440)</f>
        <v>0</v>
      </c>
      <c r="AD72" s="18" t="n">
        <f aca="false">IF(I72=0,0,ROUND(W72*1440+I$3*60,0)/1440)</f>
        <v>0</v>
      </c>
      <c r="AE72" s="18" t="n">
        <f aca="false">IF(J72=0,0,ROUND(X72*1440+J$3*60,0)/1440)</f>
        <v>0</v>
      </c>
      <c r="AF72" s="18" t="n">
        <f aca="false">IF(K72=0,0,ROUND(Y72*1440+K$3*60,0)/1440)</f>
        <v>0</v>
      </c>
      <c r="AG72" s="18" t="n">
        <f aca="false">IF(L72=0,0,ROUND(Z72*1440+L$3*60,0)/1440)</f>
        <v>0</v>
      </c>
      <c r="AH72" s="19" t="n">
        <f aca="false">SUMPRODUCT((MOD(AO$1:AU$1-0,7)&lt;Inputs!$B$6)*AO$2:AU$2*(AO71:AU71+1))*100+MOD(0-5,7)</f>
        <v>1602</v>
      </c>
      <c r="AI72" s="19" t="n">
        <f aca="false">SUMPRODUCT((MOD(AO$1:AU$1-1,7)&lt;Inputs!$B$6)*AO$2:AU$2*(AO71:AU71+1))*100+MOD(1-5,7)</f>
        <v>1403</v>
      </c>
      <c r="AJ72" s="19" t="n">
        <f aca="false">SUMPRODUCT((MOD(AO$1:AU$1-2,7)&lt;Inputs!$B$6)*AO$2:AU$2*(AO71:AU71+1))*100+MOD(2-5,7)</f>
        <v>1404</v>
      </c>
      <c r="AK72" s="19" t="n">
        <f aca="false">SUMPRODUCT((MOD(AO$1:AU$1-3,7)&lt;Inputs!$B$6)*AO$2:AU$2*(AO71:AU71+1))*100+MOD(3-5,7)</f>
        <v>1405</v>
      </c>
      <c r="AL72" s="19" t="n">
        <f aca="false">SUMPRODUCT((MOD(AO$1:AU$1-4,7)&lt;Inputs!$B$6)*AO$2:AU$2*(AO71:AU71+1))*100+MOD(4-5,7)</f>
        <v>1406</v>
      </c>
      <c r="AM72" s="19" t="n">
        <f aca="false">SUMPRODUCT((MOD(AO$1:AU$1-5,7)&lt;Inputs!$B$6)*AO$2:AU$2*(AO71:AU71+1))*100+MOD(5-5,7)</f>
        <v>1800</v>
      </c>
      <c r="AN72" s="19" t="n">
        <f aca="false">SUMPRODUCT((MOD(AO$1:AU$1-6,7)&lt;Inputs!$B$6)*AO$2:AU$2*(AO71:AU71+1))*100+MOD(6-5,7)</f>
        <v>1801</v>
      </c>
      <c r="AO72" s="19" t="n">
        <f aca="false">AO71+IF($B72=1,IF(MOD(0-$D72,7)&lt;Inputs!$B$6,1,0),0)</f>
        <v>3</v>
      </c>
      <c r="AP72" s="19" t="n">
        <f aca="false">AP71+IF($B72=1,IF(MOD(1-$D72,7)&lt;Inputs!$B$6,1,0),0)</f>
        <v>3</v>
      </c>
      <c r="AQ72" s="19" t="n">
        <f aca="false">AQ71+IF($B72=1,IF(MOD(2-$D72,7)&lt;Inputs!$B$6,1,0),0)</f>
        <v>2</v>
      </c>
      <c r="AR72" s="19" t="n">
        <f aca="false">AR71+IF($B72=1,IF(MOD(3-$D72,7)&lt;Inputs!$B$6,1,0),0)</f>
        <v>3</v>
      </c>
      <c r="AS72" s="19" t="n">
        <f aca="false">AS71+IF($B72=1,IF(MOD(4-$D72,7)&lt;Inputs!$B$6,1,0),0)</f>
        <v>2</v>
      </c>
      <c r="AT72" s="19" t="n">
        <f aca="false">AT71+IF($B72=1,IF(MOD(5-$D72,7)&lt;Inputs!$B$6,1,0),0)</f>
        <v>3</v>
      </c>
      <c r="AU72" s="19" t="n">
        <f aca="false">AU71+IF($B72=1,IF(MOD(6-$D72,7)&lt;Inputs!$B$6,1,0),0)</f>
        <v>4</v>
      </c>
    </row>
    <row r="73" customFormat="false" ht="15" hidden="false" customHeight="false" outlineLevel="0" collapsed="false">
      <c r="A73" s="0" t="n">
        <v>68</v>
      </c>
      <c r="B73" s="0" t="n">
        <f aca="false">IF(A73&lt;=Inputs!$B$3,1,0)</f>
        <v>0</v>
      </c>
      <c r="C73" s="0" t="n">
        <f aca="false">MOD(5+MOD(A73-1,7),7)</f>
        <v>2</v>
      </c>
      <c r="D73" s="0" t="n">
        <f aca="false">IF(Inputs!C90&lt;&gt;"",MATCH(Inputs!C90,Inputs!$A$11:$A$17,0)-1,IF(B73=0,0,MATCH(MIN(AH73:AN73),AH73:AN73,0)-1))</f>
        <v>0</v>
      </c>
      <c r="F73" s="0" t="n">
        <f aca="false">IF(OR($B73=0,F$3=0),0,IF(MOD(0-$D73,7)&lt;Inputs!$B$6,0,1))</f>
        <v>0</v>
      </c>
      <c r="G73" s="0" t="n">
        <f aca="false">IF(OR($B73=0,G$3=0),0,IF(MOD(1-$D73,7)&lt;Inputs!$B$6,0,1))</f>
        <v>0</v>
      </c>
      <c r="H73" s="0" t="n">
        <f aca="false">IF(OR($B73=0,H$3=0),0,IF(MOD(2-$D73,7)&lt;Inputs!$B$6,0,1))</f>
        <v>0</v>
      </c>
      <c r="I73" s="0" t="n">
        <f aca="false">IF(OR($B73=0,I$3=0),0,IF(MOD(3-$D73,7)&lt;Inputs!$B$6,0,1))</f>
        <v>0</v>
      </c>
      <c r="J73" s="0" t="n">
        <f aca="false">IF(OR($B73=0,J$3=0),0,IF(MOD(4-$D73,7)&lt;Inputs!$B$6,0,1))</f>
        <v>0</v>
      </c>
      <c r="K73" s="0" t="n">
        <f aca="false">IF(OR($B73=0,K$3=0),0,IF(MOD(5-$D73,7)&lt;Inputs!$B$6,0,1))</f>
        <v>0</v>
      </c>
      <c r="L73" s="0" t="n">
        <f aca="false">IF(OR($B73=0,L$3=0),0,IF(MOD(6-$D73,7)&lt;Inputs!$B$6,0,1))</f>
        <v>0</v>
      </c>
      <c r="M73" s="0" t="n">
        <f aca="false">SUM(F$6:F73)</f>
        <v>7</v>
      </c>
      <c r="N73" s="0" t="n">
        <f aca="false">SUM(G$6:G73)</f>
        <v>7</v>
      </c>
      <c r="O73" s="0" t="n">
        <f aca="false">SUM(H$6:H73)</f>
        <v>8</v>
      </c>
      <c r="P73" s="0" t="n">
        <f aca="false">SUM(I$6:I73)</f>
        <v>7</v>
      </c>
      <c r="Q73" s="0" t="n">
        <f aca="false">SUM(J$6:J73)</f>
        <v>8</v>
      </c>
      <c r="R73" s="0" t="n">
        <f aca="false">SUM(K$6:K73)</f>
        <v>7</v>
      </c>
      <c r="S73" s="0" t="n">
        <f aca="false">SUM(L$6:L73)</f>
        <v>6</v>
      </c>
      <c r="T73" s="18" t="n">
        <f aca="false">IF(F73=0,0,IF(Inputs!$D90="Open",F$1,IF(Inputs!$D90="Close",ROUND(F$2*1440-F$3*60,0)/1440,IF(OR(INT((M73-1)/Inputs!$B$7)=0,(INT((M$3-1-MOD(M73-1,Inputs!$B$7))/Inputs!$B$7)+1)&lt;=1),F$1,IF(INT((M73-1)/Inputs!$B$7)&gt;=(INT((M$3-1-MOD(M73-1,Inputs!$B$7))/Inputs!$B$7)+1)-1,ROUND(F$2*1440-F$3*60,0)/1440,MAX(F$1,MIN(ROUND(F$2*1440-F$3*60,0)/1440,ROUND((F$1+INT((M73-1)/Inputs!$B$7)/((INT((M$3-1-MOD(M73-1,Inputs!$B$7))/Inputs!$B$7)+1)-1)*((ROUND(F$2*1440-F$3*60,0)/1440)-F$1))*96,0)/96)))))))</f>
        <v>0</v>
      </c>
      <c r="U73" s="18" t="n">
        <f aca="false">IF(G73=0,0,IF(Inputs!$D90="Open",G$1,IF(Inputs!$D90="Close",ROUND(G$2*1440-G$3*60,0)/1440,IF(OR(INT((N73-1)/Inputs!$B$7)=0,(INT((N$3-1-MOD(N73-1,Inputs!$B$7))/Inputs!$B$7)+1)&lt;=1),G$1,IF(INT((N73-1)/Inputs!$B$7)&gt;=(INT((N$3-1-MOD(N73-1,Inputs!$B$7))/Inputs!$B$7)+1)-1,ROUND(G$2*1440-G$3*60,0)/1440,MAX(G$1,MIN(ROUND(G$2*1440-G$3*60,0)/1440,ROUND((G$1+INT((N73-1)/Inputs!$B$7)/((INT((N$3-1-MOD(N73-1,Inputs!$B$7))/Inputs!$B$7)+1)-1)*((ROUND(G$2*1440-G$3*60,0)/1440)-G$1))*96,0)/96)))))))</f>
        <v>0</v>
      </c>
      <c r="V73" s="18" t="n">
        <f aca="false">IF(H73=0,0,IF(Inputs!$D90="Open",H$1,IF(Inputs!$D90="Close",ROUND(H$2*1440-H$3*60,0)/1440,IF(OR(INT((O73-1)/Inputs!$B$7)=0,(INT((O$3-1-MOD(O73-1,Inputs!$B$7))/Inputs!$B$7)+1)&lt;=1),H$1,IF(INT((O73-1)/Inputs!$B$7)&gt;=(INT((O$3-1-MOD(O73-1,Inputs!$B$7))/Inputs!$B$7)+1)-1,ROUND(H$2*1440-H$3*60,0)/1440,MAX(H$1,MIN(ROUND(H$2*1440-H$3*60,0)/1440,ROUND((H$1+INT((O73-1)/Inputs!$B$7)/((INT((O$3-1-MOD(O73-1,Inputs!$B$7))/Inputs!$B$7)+1)-1)*((ROUND(H$2*1440-H$3*60,0)/1440)-H$1))*96,0)/96)))))))</f>
        <v>0</v>
      </c>
      <c r="W73" s="18" t="n">
        <f aca="false">IF(I73=0,0,IF(Inputs!$D90="Open",I$1,IF(Inputs!$D90="Close",ROUND(I$2*1440-I$3*60,0)/1440,IF(OR(INT((P73-1)/Inputs!$B$7)=0,(INT((P$3-1-MOD(P73-1,Inputs!$B$7))/Inputs!$B$7)+1)&lt;=1),I$1,IF(INT((P73-1)/Inputs!$B$7)&gt;=(INT((P$3-1-MOD(P73-1,Inputs!$B$7))/Inputs!$B$7)+1)-1,ROUND(I$2*1440-I$3*60,0)/1440,MAX(I$1,MIN(ROUND(I$2*1440-I$3*60,0)/1440,ROUND((I$1+INT((P73-1)/Inputs!$B$7)/((INT((P$3-1-MOD(P73-1,Inputs!$B$7))/Inputs!$B$7)+1)-1)*((ROUND(I$2*1440-I$3*60,0)/1440)-I$1))*96,0)/96)))))))</f>
        <v>0</v>
      </c>
      <c r="X73" s="18" t="n">
        <f aca="false">IF(J73=0,0,IF(Inputs!$D90="Open",J$1,IF(Inputs!$D90="Close",ROUND(J$2*1440-J$3*60,0)/1440,IF(OR(INT((Q73-1)/Inputs!$B$7)=0,(INT((Q$3-1-MOD(Q73-1,Inputs!$B$7))/Inputs!$B$7)+1)&lt;=1),J$1,IF(INT((Q73-1)/Inputs!$B$7)&gt;=(INT((Q$3-1-MOD(Q73-1,Inputs!$B$7))/Inputs!$B$7)+1)-1,ROUND(J$2*1440-J$3*60,0)/1440,MAX(J$1,MIN(ROUND(J$2*1440-J$3*60,0)/1440,ROUND((J$1+INT((Q73-1)/Inputs!$B$7)/((INT((Q$3-1-MOD(Q73-1,Inputs!$B$7))/Inputs!$B$7)+1)-1)*((ROUND(J$2*1440-J$3*60,0)/1440)-J$1))*96,0)/96)))))))</f>
        <v>0</v>
      </c>
      <c r="Y73" s="18" t="n">
        <f aca="false">IF(K73=0,0,IF(Inputs!$D90="Open",K$1,IF(Inputs!$D90="Close",ROUND(K$2*1440-K$3*60,0)/1440,IF(OR(INT((R73-1)/Inputs!$B$7)=0,(INT((R$3-1-MOD(R73-1,Inputs!$B$7))/Inputs!$B$7)+1)&lt;=1),K$1,IF(INT((R73-1)/Inputs!$B$7)&gt;=(INT((R$3-1-MOD(R73-1,Inputs!$B$7))/Inputs!$B$7)+1)-1,ROUND(K$2*1440-K$3*60,0)/1440,MAX(K$1,MIN(ROUND(K$2*1440-K$3*60,0)/1440,ROUND((K$1+INT((R73-1)/Inputs!$B$7)/((INT((R$3-1-MOD(R73-1,Inputs!$B$7))/Inputs!$B$7)+1)-1)*((ROUND(K$2*1440-K$3*60,0)/1440)-K$1))*96,0)/96)))))))</f>
        <v>0</v>
      </c>
      <c r="Z73" s="18" t="n">
        <f aca="false">IF(L73=0,0,IF(Inputs!$D90="Open",L$1,IF(Inputs!$D90="Close",ROUND(L$2*1440-L$3*60,0)/1440,IF(OR(INT((S73-1)/Inputs!$B$7)=0,(INT((S$3-1-MOD(S73-1,Inputs!$B$7))/Inputs!$B$7)+1)&lt;=1),L$1,IF(INT((S73-1)/Inputs!$B$7)&gt;=(INT((S$3-1-MOD(S73-1,Inputs!$B$7))/Inputs!$B$7)+1)-1,ROUND(L$2*1440-L$3*60,0)/1440,MAX(L$1,MIN(ROUND(L$2*1440-L$3*60,0)/1440,ROUND((L$1+INT((S73-1)/Inputs!$B$7)/((INT((S$3-1-MOD(S73-1,Inputs!$B$7))/Inputs!$B$7)+1)-1)*((ROUND(L$2*1440-L$3*60,0)/1440)-L$1))*96,0)/96)))))))</f>
        <v>0</v>
      </c>
      <c r="AA73" s="18" t="n">
        <f aca="false">IF(F73=0,0,ROUND(T73*1440+F$3*60,0)/1440)</f>
        <v>0</v>
      </c>
      <c r="AB73" s="18" t="n">
        <f aca="false">IF(G73=0,0,ROUND(U73*1440+G$3*60,0)/1440)</f>
        <v>0</v>
      </c>
      <c r="AC73" s="18" t="n">
        <f aca="false">IF(H73=0,0,ROUND(V73*1440+H$3*60,0)/1440)</f>
        <v>0</v>
      </c>
      <c r="AD73" s="18" t="n">
        <f aca="false">IF(I73=0,0,ROUND(W73*1440+I$3*60,0)/1440)</f>
        <v>0</v>
      </c>
      <c r="AE73" s="18" t="n">
        <f aca="false">IF(J73=0,0,ROUND(X73*1440+J$3*60,0)/1440)</f>
        <v>0</v>
      </c>
      <c r="AF73" s="18" t="n">
        <f aca="false">IF(K73=0,0,ROUND(Y73*1440+K$3*60,0)/1440)</f>
        <v>0</v>
      </c>
      <c r="AG73" s="18" t="n">
        <f aca="false">IF(L73=0,0,ROUND(Z73*1440+L$3*60,0)/1440)</f>
        <v>0</v>
      </c>
      <c r="AH73" s="19" t="n">
        <f aca="false">SUMPRODUCT((MOD(AO$1:AU$1-0,7)&lt;Inputs!$B$6)*AO$2:AU$2*(AO72:AU72+1))*100+MOD(0-5,7)</f>
        <v>1602</v>
      </c>
      <c r="AI73" s="19" t="n">
        <f aca="false">SUMPRODUCT((MOD(AO$1:AU$1-1,7)&lt;Inputs!$B$6)*AO$2:AU$2*(AO72:AU72+1))*100+MOD(1-5,7)</f>
        <v>1403</v>
      </c>
      <c r="AJ73" s="19" t="n">
        <f aca="false">SUMPRODUCT((MOD(AO$1:AU$1-2,7)&lt;Inputs!$B$6)*AO$2:AU$2*(AO72:AU72+1))*100+MOD(2-5,7)</f>
        <v>1404</v>
      </c>
      <c r="AK73" s="19" t="n">
        <f aca="false">SUMPRODUCT((MOD(AO$1:AU$1-3,7)&lt;Inputs!$B$6)*AO$2:AU$2*(AO72:AU72+1))*100+MOD(3-5,7)</f>
        <v>1405</v>
      </c>
      <c r="AL73" s="19" t="n">
        <f aca="false">SUMPRODUCT((MOD(AO$1:AU$1-4,7)&lt;Inputs!$B$6)*AO$2:AU$2*(AO72:AU72+1))*100+MOD(4-5,7)</f>
        <v>1406</v>
      </c>
      <c r="AM73" s="19" t="n">
        <f aca="false">SUMPRODUCT((MOD(AO$1:AU$1-5,7)&lt;Inputs!$B$6)*AO$2:AU$2*(AO72:AU72+1))*100+MOD(5-5,7)</f>
        <v>1800</v>
      </c>
      <c r="AN73" s="19" t="n">
        <f aca="false">SUMPRODUCT((MOD(AO$1:AU$1-6,7)&lt;Inputs!$B$6)*AO$2:AU$2*(AO72:AU72+1))*100+MOD(6-5,7)</f>
        <v>1801</v>
      </c>
      <c r="AO73" s="19" t="n">
        <f aca="false">AO72+IF($B73=1,IF(MOD(0-$D73,7)&lt;Inputs!$B$6,1,0),0)</f>
        <v>3</v>
      </c>
      <c r="AP73" s="19" t="n">
        <f aca="false">AP72+IF($B73=1,IF(MOD(1-$D73,7)&lt;Inputs!$B$6,1,0),0)</f>
        <v>3</v>
      </c>
      <c r="AQ73" s="19" t="n">
        <f aca="false">AQ72+IF($B73=1,IF(MOD(2-$D73,7)&lt;Inputs!$B$6,1,0),0)</f>
        <v>2</v>
      </c>
      <c r="AR73" s="19" t="n">
        <f aca="false">AR72+IF($B73=1,IF(MOD(3-$D73,7)&lt;Inputs!$B$6,1,0),0)</f>
        <v>3</v>
      </c>
      <c r="AS73" s="19" t="n">
        <f aca="false">AS72+IF($B73=1,IF(MOD(4-$D73,7)&lt;Inputs!$B$6,1,0),0)</f>
        <v>2</v>
      </c>
      <c r="AT73" s="19" t="n">
        <f aca="false">AT72+IF($B73=1,IF(MOD(5-$D73,7)&lt;Inputs!$B$6,1,0),0)</f>
        <v>3</v>
      </c>
      <c r="AU73" s="19" t="n">
        <f aca="false">AU72+IF($B73=1,IF(MOD(6-$D73,7)&lt;Inputs!$B$6,1,0),0)</f>
        <v>4</v>
      </c>
    </row>
    <row r="74" customFormat="false" ht="15" hidden="false" customHeight="false" outlineLevel="0" collapsed="false">
      <c r="A74" s="0" t="n">
        <v>69</v>
      </c>
      <c r="B74" s="0" t="n">
        <f aca="false">IF(A74&lt;=Inputs!$B$3,1,0)</f>
        <v>0</v>
      </c>
      <c r="C74" s="0" t="n">
        <f aca="false">MOD(5+MOD(A74-1,7),7)</f>
        <v>3</v>
      </c>
      <c r="D74" s="0" t="n">
        <f aca="false">IF(Inputs!C91&lt;&gt;"",MATCH(Inputs!C91,Inputs!$A$11:$A$17,0)-1,IF(B74=0,0,MATCH(MIN(AH74:AN74),AH74:AN74,0)-1))</f>
        <v>0</v>
      </c>
      <c r="F74" s="0" t="n">
        <f aca="false">IF(OR($B74=0,F$3=0),0,IF(MOD(0-$D74,7)&lt;Inputs!$B$6,0,1))</f>
        <v>0</v>
      </c>
      <c r="G74" s="0" t="n">
        <f aca="false">IF(OR($B74=0,G$3=0),0,IF(MOD(1-$D74,7)&lt;Inputs!$B$6,0,1))</f>
        <v>0</v>
      </c>
      <c r="H74" s="0" t="n">
        <f aca="false">IF(OR($B74=0,H$3=0),0,IF(MOD(2-$D74,7)&lt;Inputs!$B$6,0,1))</f>
        <v>0</v>
      </c>
      <c r="I74" s="0" t="n">
        <f aca="false">IF(OR($B74=0,I$3=0),0,IF(MOD(3-$D74,7)&lt;Inputs!$B$6,0,1))</f>
        <v>0</v>
      </c>
      <c r="J74" s="0" t="n">
        <f aca="false">IF(OR($B74=0,J$3=0),0,IF(MOD(4-$D74,7)&lt;Inputs!$B$6,0,1))</f>
        <v>0</v>
      </c>
      <c r="K74" s="0" t="n">
        <f aca="false">IF(OR($B74=0,K$3=0),0,IF(MOD(5-$D74,7)&lt;Inputs!$B$6,0,1))</f>
        <v>0</v>
      </c>
      <c r="L74" s="0" t="n">
        <f aca="false">IF(OR($B74=0,L$3=0),0,IF(MOD(6-$D74,7)&lt;Inputs!$B$6,0,1))</f>
        <v>0</v>
      </c>
      <c r="M74" s="0" t="n">
        <f aca="false">SUM(F$6:F74)</f>
        <v>7</v>
      </c>
      <c r="N74" s="0" t="n">
        <f aca="false">SUM(G$6:G74)</f>
        <v>7</v>
      </c>
      <c r="O74" s="0" t="n">
        <f aca="false">SUM(H$6:H74)</f>
        <v>8</v>
      </c>
      <c r="P74" s="0" t="n">
        <f aca="false">SUM(I$6:I74)</f>
        <v>7</v>
      </c>
      <c r="Q74" s="0" t="n">
        <f aca="false">SUM(J$6:J74)</f>
        <v>8</v>
      </c>
      <c r="R74" s="0" t="n">
        <f aca="false">SUM(K$6:K74)</f>
        <v>7</v>
      </c>
      <c r="S74" s="0" t="n">
        <f aca="false">SUM(L$6:L74)</f>
        <v>6</v>
      </c>
      <c r="T74" s="18" t="n">
        <f aca="false">IF(F74=0,0,IF(Inputs!$D91="Open",F$1,IF(Inputs!$D91="Close",ROUND(F$2*1440-F$3*60,0)/1440,IF(OR(INT((M74-1)/Inputs!$B$7)=0,(INT((M$3-1-MOD(M74-1,Inputs!$B$7))/Inputs!$B$7)+1)&lt;=1),F$1,IF(INT((M74-1)/Inputs!$B$7)&gt;=(INT((M$3-1-MOD(M74-1,Inputs!$B$7))/Inputs!$B$7)+1)-1,ROUND(F$2*1440-F$3*60,0)/1440,MAX(F$1,MIN(ROUND(F$2*1440-F$3*60,0)/1440,ROUND((F$1+INT((M74-1)/Inputs!$B$7)/((INT((M$3-1-MOD(M74-1,Inputs!$B$7))/Inputs!$B$7)+1)-1)*((ROUND(F$2*1440-F$3*60,0)/1440)-F$1))*96,0)/96)))))))</f>
        <v>0</v>
      </c>
      <c r="U74" s="18" t="n">
        <f aca="false">IF(G74=0,0,IF(Inputs!$D91="Open",G$1,IF(Inputs!$D91="Close",ROUND(G$2*1440-G$3*60,0)/1440,IF(OR(INT((N74-1)/Inputs!$B$7)=0,(INT((N$3-1-MOD(N74-1,Inputs!$B$7))/Inputs!$B$7)+1)&lt;=1),G$1,IF(INT((N74-1)/Inputs!$B$7)&gt;=(INT((N$3-1-MOD(N74-1,Inputs!$B$7))/Inputs!$B$7)+1)-1,ROUND(G$2*1440-G$3*60,0)/1440,MAX(G$1,MIN(ROUND(G$2*1440-G$3*60,0)/1440,ROUND((G$1+INT((N74-1)/Inputs!$B$7)/((INT((N$3-1-MOD(N74-1,Inputs!$B$7))/Inputs!$B$7)+1)-1)*((ROUND(G$2*1440-G$3*60,0)/1440)-G$1))*96,0)/96)))))))</f>
        <v>0</v>
      </c>
      <c r="V74" s="18" t="n">
        <f aca="false">IF(H74=0,0,IF(Inputs!$D91="Open",H$1,IF(Inputs!$D91="Close",ROUND(H$2*1440-H$3*60,0)/1440,IF(OR(INT((O74-1)/Inputs!$B$7)=0,(INT((O$3-1-MOD(O74-1,Inputs!$B$7))/Inputs!$B$7)+1)&lt;=1),H$1,IF(INT((O74-1)/Inputs!$B$7)&gt;=(INT((O$3-1-MOD(O74-1,Inputs!$B$7))/Inputs!$B$7)+1)-1,ROUND(H$2*1440-H$3*60,0)/1440,MAX(H$1,MIN(ROUND(H$2*1440-H$3*60,0)/1440,ROUND((H$1+INT((O74-1)/Inputs!$B$7)/((INT((O$3-1-MOD(O74-1,Inputs!$B$7))/Inputs!$B$7)+1)-1)*((ROUND(H$2*1440-H$3*60,0)/1440)-H$1))*96,0)/96)))))))</f>
        <v>0</v>
      </c>
      <c r="W74" s="18" t="n">
        <f aca="false">IF(I74=0,0,IF(Inputs!$D91="Open",I$1,IF(Inputs!$D91="Close",ROUND(I$2*1440-I$3*60,0)/1440,IF(OR(INT((P74-1)/Inputs!$B$7)=0,(INT((P$3-1-MOD(P74-1,Inputs!$B$7))/Inputs!$B$7)+1)&lt;=1),I$1,IF(INT((P74-1)/Inputs!$B$7)&gt;=(INT((P$3-1-MOD(P74-1,Inputs!$B$7))/Inputs!$B$7)+1)-1,ROUND(I$2*1440-I$3*60,0)/1440,MAX(I$1,MIN(ROUND(I$2*1440-I$3*60,0)/1440,ROUND((I$1+INT((P74-1)/Inputs!$B$7)/((INT((P$3-1-MOD(P74-1,Inputs!$B$7))/Inputs!$B$7)+1)-1)*((ROUND(I$2*1440-I$3*60,0)/1440)-I$1))*96,0)/96)))))))</f>
        <v>0</v>
      </c>
      <c r="X74" s="18" t="n">
        <f aca="false">IF(J74=0,0,IF(Inputs!$D91="Open",J$1,IF(Inputs!$D91="Close",ROUND(J$2*1440-J$3*60,0)/1440,IF(OR(INT((Q74-1)/Inputs!$B$7)=0,(INT((Q$3-1-MOD(Q74-1,Inputs!$B$7))/Inputs!$B$7)+1)&lt;=1),J$1,IF(INT((Q74-1)/Inputs!$B$7)&gt;=(INT((Q$3-1-MOD(Q74-1,Inputs!$B$7))/Inputs!$B$7)+1)-1,ROUND(J$2*1440-J$3*60,0)/1440,MAX(J$1,MIN(ROUND(J$2*1440-J$3*60,0)/1440,ROUND((J$1+INT((Q74-1)/Inputs!$B$7)/((INT((Q$3-1-MOD(Q74-1,Inputs!$B$7))/Inputs!$B$7)+1)-1)*((ROUND(J$2*1440-J$3*60,0)/1440)-J$1))*96,0)/96)))))))</f>
        <v>0</v>
      </c>
      <c r="Y74" s="18" t="n">
        <f aca="false">IF(K74=0,0,IF(Inputs!$D91="Open",K$1,IF(Inputs!$D91="Close",ROUND(K$2*1440-K$3*60,0)/1440,IF(OR(INT((R74-1)/Inputs!$B$7)=0,(INT((R$3-1-MOD(R74-1,Inputs!$B$7))/Inputs!$B$7)+1)&lt;=1),K$1,IF(INT((R74-1)/Inputs!$B$7)&gt;=(INT((R$3-1-MOD(R74-1,Inputs!$B$7))/Inputs!$B$7)+1)-1,ROUND(K$2*1440-K$3*60,0)/1440,MAX(K$1,MIN(ROUND(K$2*1440-K$3*60,0)/1440,ROUND((K$1+INT((R74-1)/Inputs!$B$7)/((INT((R$3-1-MOD(R74-1,Inputs!$B$7))/Inputs!$B$7)+1)-1)*((ROUND(K$2*1440-K$3*60,0)/1440)-K$1))*96,0)/96)))))))</f>
        <v>0</v>
      </c>
      <c r="Z74" s="18" t="n">
        <f aca="false">IF(L74=0,0,IF(Inputs!$D91="Open",L$1,IF(Inputs!$D91="Close",ROUND(L$2*1440-L$3*60,0)/1440,IF(OR(INT((S74-1)/Inputs!$B$7)=0,(INT((S$3-1-MOD(S74-1,Inputs!$B$7))/Inputs!$B$7)+1)&lt;=1),L$1,IF(INT((S74-1)/Inputs!$B$7)&gt;=(INT((S$3-1-MOD(S74-1,Inputs!$B$7))/Inputs!$B$7)+1)-1,ROUND(L$2*1440-L$3*60,0)/1440,MAX(L$1,MIN(ROUND(L$2*1440-L$3*60,0)/1440,ROUND((L$1+INT((S74-1)/Inputs!$B$7)/((INT((S$3-1-MOD(S74-1,Inputs!$B$7))/Inputs!$B$7)+1)-1)*((ROUND(L$2*1440-L$3*60,0)/1440)-L$1))*96,0)/96)))))))</f>
        <v>0</v>
      </c>
      <c r="AA74" s="18" t="n">
        <f aca="false">IF(F74=0,0,ROUND(T74*1440+F$3*60,0)/1440)</f>
        <v>0</v>
      </c>
      <c r="AB74" s="18" t="n">
        <f aca="false">IF(G74=0,0,ROUND(U74*1440+G$3*60,0)/1440)</f>
        <v>0</v>
      </c>
      <c r="AC74" s="18" t="n">
        <f aca="false">IF(H74=0,0,ROUND(V74*1440+H$3*60,0)/1440)</f>
        <v>0</v>
      </c>
      <c r="AD74" s="18" t="n">
        <f aca="false">IF(I74=0,0,ROUND(W74*1440+I$3*60,0)/1440)</f>
        <v>0</v>
      </c>
      <c r="AE74" s="18" t="n">
        <f aca="false">IF(J74=0,0,ROUND(X74*1440+J$3*60,0)/1440)</f>
        <v>0</v>
      </c>
      <c r="AF74" s="18" t="n">
        <f aca="false">IF(K74=0,0,ROUND(Y74*1440+K$3*60,0)/1440)</f>
        <v>0</v>
      </c>
      <c r="AG74" s="18" t="n">
        <f aca="false">IF(L74=0,0,ROUND(Z74*1440+L$3*60,0)/1440)</f>
        <v>0</v>
      </c>
      <c r="AH74" s="19" t="n">
        <f aca="false">SUMPRODUCT((MOD(AO$1:AU$1-0,7)&lt;Inputs!$B$6)*AO$2:AU$2*(AO73:AU73+1))*100+MOD(0-5,7)</f>
        <v>1602</v>
      </c>
      <c r="AI74" s="19" t="n">
        <f aca="false">SUMPRODUCT((MOD(AO$1:AU$1-1,7)&lt;Inputs!$B$6)*AO$2:AU$2*(AO73:AU73+1))*100+MOD(1-5,7)</f>
        <v>1403</v>
      </c>
      <c r="AJ74" s="19" t="n">
        <f aca="false">SUMPRODUCT((MOD(AO$1:AU$1-2,7)&lt;Inputs!$B$6)*AO$2:AU$2*(AO73:AU73+1))*100+MOD(2-5,7)</f>
        <v>1404</v>
      </c>
      <c r="AK74" s="19" t="n">
        <f aca="false">SUMPRODUCT((MOD(AO$1:AU$1-3,7)&lt;Inputs!$B$6)*AO$2:AU$2*(AO73:AU73+1))*100+MOD(3-5,7)</f>
        <v>1405</v>
      </c>
      <c r="AL74" s="19" t="n">
        <f aca="false">SUMPRODUCT((MOD(AO$1:AU$1-4,7)&lt;Inputs!$B$6)*AO$2:AU$2*(AO73:AU73+1))*100+MOD(4-5,7)</f>
        <v>1406</v>
      </c>
      <c r="AM74" s="19" t="n">
        <f aca="false">SUMPRODUCT((MOD(AO$1:AU$1-5,7)&lt;Inputs!$B$6)*AO$2:AU$2*(AO73:AU73+1))*100+MOD(5-5,7)</f>
        <v>1800</v>
      </c>
      <c r="AN74" s="19" t="n">
        <f aca="false">SUMPRODUCT((MOD(AO$1:AU$1-6,7)&lt;Inputs!$B$6)*AO$2:AU$2*(AO73:AU73+1))*100+MOD(6-5,7)</f>
        <v>1801</v>
      </c>
      <c r="AO74" s="19" t="n">
        <f aca="false">AO73+IF($B74=1,IF(MOD(0-$D74,7)&lt;Inputs!$B$6,1,0),0)</f>
        <v>3</v>
      </c>
      <c r="AP74" s="19" t="n">
        <f aca="false">AP73+IF($B74=1,IF(MOD(1-$D74,7)&lt;Inputs!$B$6,1,0),0)</f>
        <v>3</v>
      </c>
      <c r="AQ74" s="19" t="n">
        <f aca="false">AQ73+IF($B74=1,IF(MOD(2-$D74,7)&lt;Inputs!$B$6,1,0),0)</f>
        <v>2</v>
      </c>
      <c r="AR74" s="19" t="n">
        <f aca="false">AR73+IF($B74=1,IF(MOD(3-$D74,7)&lt;Inputs!$B$6,1,0),0)</f>
        <v>3</v>
      </c>
      <c r="AS74" s="19" t="n">
        <f aca="false">AS73+IF($B74=1,IF(MOD(4-$D74,7)&lt;Inputs!$B$6,1,0),0)</f>
        <v>2</v>
      </c>
      <c r="AT74" s="19" t="n">
        <f aca="false">AT73+IF($B74=1,IF(MOD(5-$D74,7)&lt;Inputs!$B$6,1,0),0)</f>
        <v>3</v>
      </c>
      <c r="AU74" s="19" t="n">
        <f aca="false">AU73+IF($B74=1,IF(MOD(6-$D74,7)&lt;Inputs!$B$6,1,0),0)</f>
        <v>4</v>
      </c>
    </row>
    <row r="75" customFormat="false" ht="15" hidden="false" customHeight="false" outlineLevel="0" collapsed="false">
      <c r="A75" s="0" t="n">
        <v>70</v>
      </c>
      <c r="B75" s="0" t="n">
        <f aca="false">IF(A75&lt;=Inputs!$B$3,1,0)</f>
        <v>0</v>
      </c>
      <c r="C75" s="0" t="n">
        <f aca="false">MOD(5+MOD(A75-1,7),7)</f>
        <v>4</v>
      </c>
      <c r="D75" s="0" t="n">
        <f aca="false">IF(Inputs!C92&lt;&gt;"",MATCH(Inputs!C92,Inputs!$A$11:$A$17,0)-1,IF(B75=0,0,MATCH(MIN(AH75:AN75),AH75:AN75,0)-1))</f>
        <v>0</v>
      </c>
      <c r="F75" s="0" t="n">
        <f aca="false">IF(OR($B75=0,F$3=0),0,IF(MOD(0-$D75,7)&lt;Inputs!$B$6,0,1))</f>
        <v>0</v>
      </c>
      <c r="G75" s="0" t="n">
        <f aca="false">IF(OR($B75=0,G$3=0),0,IF(MOD(1-$D75,7)&lt;Inputs!$B$6,0,1))</f>
        <v>0</v>
      </c>
      <c r="H75" s="0" t="n">
        <f aca="false">IF(OR($B75=0,H$3=0),0,IF(MOD(2-$D75,7)&lt;Inputs!$B$6,0,1))</f>
        <v>0</v>
      </c>
      <c r="I75" s="0" t="n">
        <f aca="false">IF(OR($B75=0,I$3=0),0,IF(MOD(3-$D75,7)&lt;Inputs!$B$6,0,1))</f>
        <v>0</v>
      </c>
      <c r="J75" s="0" t="n">
        <f aca="false">IF(OR($B75=0,J$3=0),0,IF(MOD(4-$D75,7)&lt;Inputs!$B$6,0,1))</f>
        <v>0</v>
      </c>
      <c r="K75" s="0" t="n">
        <f aca="false">IF(OR($B75=0,K$3=0),0,IF(MOD(5-$D75,7)&lt;Inputs!$B$6,0,1))</f>
        <v>0</v>
      </c>
      <c r="L75" s="0" t="n">
        <f aca="false">IF(OR($B75=0,L$3=0),0,IF(MOD(6-$D75,7)&lt;Inputs!$B$6,0,1))</f>
        <v>0</v>
      </c>
      <c r="M75" s="0" t="n">
        <f aca="false">SUM(F$6:F75)</f>
        <v>7</v>
      </c>
      <c r="N75" s="0" t="n">
        <f aca="false">SUM(G$6:G75)</f>
        <v>7</v>
      </c>
      <c r="O75" s="0" t="n">
        <f aca="false">SUM(H$6:H75)</f>
        <v>8</v>
      </c>
      <c r="P75" s="0" t="n">
        <f aca="false">SUM(I$6:I75)</f>
        <v>7</v>
      </c>
      <c r="Q75" s="0" t="n">
        <f aca="false">SUM(J$6:J75)</f>
        <v>8</v>
      </c>
      <c r="R75" s="0" t="n">
        <f aca="false">SUM(K$6:K75)</f>
        <v>7</v>
      </c>
      <c r="S75" s="0" t="n">
        <f aca="false">SUM(L$6:L75)</f>
        <v>6</v>
      </c>
      <c r="T75" s="18" t="n">
        <f aca="false">IF(F75=0,0,IF(Inputs!$D92="Open",F$1,IF(Inputs!$D92="Close",ROUND(F$2*1440-F$3*60,0)/1440,IF(OR(INT((M75-1)/Inputs!$B$7)=0,(INT((M$3-1-MOD(M75-1,Inputs!$B$7))/Inputs!$B$7)+1)&lt;=1),F$1,IF(INT((M75-1)/Inputs!$B$7)&gt;=(INT((M$3-1-MOD(M75-1,Inputs!$B$7))/Inputs!$B$7)+1)-1,ROUND(F$2*1440-F$3*60,0)/1440,MAX(F$1,MIN(ROUND(F$2*1440-F$3*60,0)/1440,ROUND((F$1+INT((M75-1)/Inputs!$B$7)/((INT((M$3-1-MOD(M75-1,Inputs!$B$7))/Inputs!$B$7)+1)-1)*((ROUND(F$2*1440-F$3*60,0)/1440)-F$1))*96,0)/96)))))))</f>
        <v>0</v>
      </c>
      <c r="U75" s="18" t="n">
        <f aca="false">IF(G75=0,0,IF(Inputs!$D92="Open",G$1,IF(Inputs!$D92="Close",ROUND(G$2*1440-G$3*60,0)/1440,IF(OR(INT((N75-1)/Inputs!$B$7)=0,(INT((N$3-1-MOD(N75-1,Inputs!$B$7))/Inputs!$B$7)+1)&lt;=1),G$1,IF(INT((N75-1)/Inputs!$B$7)&gt;=(INT((N$3-1-MOD(N75-1,Inputs!$B$7))/Inputs!$B$7)+1)-1,ROUND(G$2*1440-G$3*60,0)/1440,MAX(G$1,MIN(ROUND(G$2*1440-G$3*60,0)/1440,ROUND((G$1+INT((N75-1)/Inputs!$B$7)/((INT((N$3-1-MOD(N75-1,Inputs!$B$7))/Inputs!$B$7)+1)-1)*((ROUND(G$2*1440-G$3*60,0)/1440)-G$1))*96,0)/96)))))))</f>
        <v>0</v>
      </c>
      <c r="V75" s="18" t="n">
        <f aca="false">IF(H75=0,0,IF(Inputs!$D92="Open",H$1,IF(Inputs!$D92="Close",ROUND(H$2*1440-H$3*60,0)/1440,IF(OR(INT((O75-1)/Inputs!$B$7)=0,(INT((O$3-1-MOD(O75-1,Inputs!$B$7))/Inputs!$B$7)+1)&lt;=1),H$1,IF(INT((O75-1)/Inputs!$B$7)&gt;=(INT((O$3-1-MOD(O75-1,Inputs!$B$7))/Inputs!$B$7)+1)-1,ROUND(H$2*1440-H$3*60,0)/1440,MAX(H$1,MIN(ROUND(H$2*1440-H$3*60,0)/1440,ROUND((H$1+INT((O75-1)/Inputs!$B$7)/((INT((O$3-1-MOD(O75-1,Inputs!$B$7))/Inputs!$B$7)+1)-1)*((ROUND(H$2*1440-H$3*60,0)/1440)-H$1))*96,0)/96)))))))</f>
        <v>0</v>
      </c>
      <c r="W75" s="18" t="n">
        <f aca="false">IF(I75=0,0,IF(Inputs!$D92="Open",I$1,IF(Inputs!$D92="Close",ROUND(I$2*1440-I$3*60,0)/1440,IF(OR(INT((P75-1)/Inputs!$B$7)=0,(INT((P$3-1-MOD(P75-1,Inputs!$B$7))/Inputs!$B$7)+1)&lt;=1),I$1,IF(INT((P75-1)/Inputs!$B$7)&gt;=(INT((P$3-1-MOD(P75-1,Inputs!$B$7))/Inputs!$B$7)+1)-1,ROUND(I$2*1440-I$3*60,0)/1440,MAX(I$1,MIN(ROUND(I$2*1440-I$3*60,0)/1440,ROUND((I$1+INT((P75-1)/Inputs!$B$7)/((INT((P$3-1-MOD(P75-1,Inputs!$B$7))/Inputs!$B$7)+1)-1)*((ROUND(I$2*1440-I$3*60,0)/1440)-I$1))*96,0)/96)))))))</f>
        <v>0</v>
      </c>
      <c r="X75" s="18" t="n">
        <f aca="false">IF(J75=0,0,IF(Inputs!$D92="Open",J$1,IF(Inputs!$D92="Close",ROUND(J$2*1440-J$3*60,0)/1440,IF(OR(INT((Q75-1)/Inputs!$B$7)=0,(INT((Q$3-1-MOD(Q75-1,Inputs!$B$7))/Inputs!$B$7)+1)&lt;=1),J$1,IF(INT((Q75-1)/Inputs!$B$7)&gt;=(INT((Q$3-1-MOD(Q75-1,Inputs!$B$7))/Inputs!$B$7)+1)-1,ROUND(J$2*1440-J$3*60,0)/1440,MAX(J$1,MIN(ROUND(J$2*1440-J$3*60,0)/1440,ROUND((J$1+INT((Q75-1)/Inputs!$B$7)/((INT((Q$3-1-MOD(Q75-1,Inputs!$B$7))/Inputs!$B$7)+1)-1)*((ROUND(J$2*1440-J$3*60,0)/1440)-J$1))*96,0)/96)))))))</f>
        <v>0</v>
      </c>
      <c r="Y75" s="18" t="n">
        <f aca="false">IF(K75=0,0,IF(Inputs!$D92="Open",K$1,IF(Inputs!$D92="Close",ROUND(K$2*1440-K$3*60,0)/1440,IF(OR(INT((R75-1)/Inputs!$B$7)=0,(INT((R$3-1-MOD(R75-1,Inputs!$B$7))/Inputs!$B$7)+1)&lt;=1),K$1,IF(INT((R75-1)/Inputs!$B$7)&gt;=(INT((R$3-1-MOD(R75-1,Inputs!$B$7))/Inputs!$B$7)+1)-1,ROUND(K$2*1440-K$3*60,0)/1440,MAX(K$1,MIN(ROUND(K$2*1440-K$3*60,0)/1440,ROUND((K$1+INT((R75-1)/Inputs!$B$7)/((INT((R$3-1-MOD(R75-1,Inputs!$B$7))/Inputs!$B$7)+1)-1)*((ROUND(K$2*1440-K$3*60,0)/1440)-K$1))*96,0)/96)))))))</f>
        <v>0</v>
      </c>
      <c r="Z75" s="18" t="n">
        <f aca="false">IF(L75=0,0,IF(Inputs!$D92="Open",L$1,IF(Inputs!$D92="Close",ROUND(L$2*1440-L$3*60,0)/1440,IF(OR(INT((S75-1)/Inputs!$B$7)=0,(INT((S$3-1-MOD(S75-1,Inputs!$B$7))/Inputs!$B$7)+1)&lt;=1),L$1,IF(INT((S75-1)/Inputs!$B$7)&gt;=(INT((S$3-1-MOD(S75-1,Inputs!$B$7))/Inputs!$B$7)+1)-1,ROUND(L$2*1440-L$3*60,0)/1440,MAX(L$1,MIN(ROUND(L$2*1440-L$3*60,0)/1440,ROUND((L$1+INT((S75-1)/Inputs!$B$7)/((INT((S$3-1-MOD(S75-1,Inputs!$B$7))/Inputs!$B$7)+1)-1)*((ROUND(L$2*1440-L$3*60,0)/1440)-L$1))*96,0)/96)))))))</f>
        <v>0</v>
      </c>
      <c r="AA75" s="18" t="n">
        <f aca="false">IF(F75=0,0,ROUND(T75*1440+F$3*60,0)/1440)</f>
        <v>0</v>
      </c>
      <c r="AB75" s="18" t="n">
        <f aca="false">IF(G75=0,0,ROUND(U75*1440+G$3*60,0)/1440)</f>
        <v>0</v>
      </c>
      <c r="AC75" s="18" t="n">
        <f aca="false">IF(H75=0,0,ROUND(V75*1440+H$3*60,0)/1440)</f>
        <v>0</v>
      </c>
      <c r="AD75" s="18" t="n">
        <f aca="false">IF(I75=0,0,ROUND(W75*1440+I$3*60,0)/1440)</f>
        <v>0</v>
      </c>
      <c r="AE75" s="18" t="n">
        <f aca="false">IF(J75=0,0,ROUND(X75*1440+J$3*60,0)/1440)</f>
        <v>0</v>
      </c>
      <c r="AF75" s="18" t="n">
        <f aca="false">IF(K75=0,0,ROUND(Y75*1440+K$3*60,0)/1440)</f>
        <v>0</v>
      </c>
      <c r="AG75" s="18" t="n">
        <f aca="false">IF(L75=0,0,ROUND(Z75*1440+L$3*60,0)/1440)</f>
        <v>0</v>
      </c>
      <c r="AH75" s="19" t="n">
        <f aca="false">SUMPRODUCT((MOD(AO$1:AU$1-0,7)&lt;Inputs!$B$6)*AO$2:AU$2*(AO74:AU74+1))*100+MOD(0-5,7)</f>
        <v>1602</v>
      </c>
      <c r="AI75" s="19" t="n">
        <f aca="false">SUMPRODUCT((MOD(AO$1:AU$1-1,7)&lt;Inputs!$B$6)*AO$2:AU$2*(AO74:AU74+1))*100+MOD(1-5,7)</f>
        <v>1403</v>
      </c>
      <c r="AJ75" s="19" t="n">
        <f aca="false">SUMPRODUCT((MOD(AO$1:AU$1-2,7)&lt;Inputs!$B$6)*AO$2:AU$2*(AO74:AU74+1))*100+MOD(2-5,7)</f>
        <v>1404</v>
      </c>
      <c r="AK75" s="19" t="n">
        <f aca="false">SUMPRODUCT((MOD(AO$1:AU$1-3,7)&lt;Inputs!$B$6)*AO$2:AU$2*(AO74:AU74+1))*100+MOD(3-5,7)</f>
        <v>1405</v>
      </c>
      <c r="AL75" s="19" t="n">
        <f aca="false">SUMPRODUCT((MOD(AO$1:AU$1-4,7)&lt;Inputs!$B$6)*AO$2:AU$2*(AO74:AU74+1))*100+MOD(4-5,7)</f>
        <v>1406</v>
      </c>
      <c r="AM75" s="19" t="n">
        <f aca="false">SUMPRODUCT((MOD(AO$1:AU$1-5,7)&lt;Inputs!$B$6)*AO$2:AU$2*(AO74:AU74+1))*100+MOD(5-5,7)</f>
        <v>1800</v>
      </c>
      <c r="AN75" s="19" t="n">
        <f aca="false">SUMPRODUCT((MOD(AO$1:AU$1-6,7)&lt;Inputs!$B$6)*AO$2:AU$2*(AO74:AU74+1))*100+MOD(6-5,7)</f>
        <v>1801</v>
      </c>
      <c r="AO75" s="19" t="n">
        <f aca="false">AO74+IF($B75=1,IF(MOD(0-$D75,7)&lt;Inputs!$B$6,1,0),0)</f>
        <v>3</v>
      </c>
      <c r="AP75" s="19" t="n">
        <f aca="false">AP74+IF($B75=1,IF(MOD(1-$D75,7)&lt;Inputs!$B$6,1,0),0)</f>
        <v>3</v>
      </c>
      <c r="AQ75" s="19" t="n">
        <f aca="false">AQ74+IF($B75=1,IF(MOD(2-$D75,7)&lt;Inputs!$B$6,1,0),0)</f>
        <v>2</v>
      </c>
      <c r="AR75" s="19" t="n">
        <f aca="false">AR74+IF($B75=1,IF(MOD(3-$D75,7)&lt;Inputs!$B$6,1,0),0)</f>
        <v>3</v>
      </c>
      <c r="AS75" s="19" t="n">
        <f aca="false">AS74+IF($B75=1,IF(MOD(4-$D75,7)&lt;Inputs!$B$6,1,0),0)</f>
        <v>2</v>
      </c>
      <c r="AT75" s="19" t="n">
        <f aca="false">AT74+IF($B75=1,IF(MOD(5-$D75,7)&lt;Inputs!$B$6,1,0),0)</f>
        <v>3</v>
      </c>
      <c r="AU75" s="19" t="n">
        <f aca="false">AU74+IF($B75=1,IF(MOD(6-$D75,7)&lt;Inputs!$B$6,1,0),0)</f>
        <v>4</v>
      </c>
    </row>
    <row r="76" customFormat="false" ht="15" hidden="false" customHeight="false" outlineLevel="0" collapsed="false">
      <c r="A76" s="0" t="n">
        <v>71</v>
      </c>
      <c r="B76" s="0" t="n">
        <f aca="false">IF(A76&lt;=Inputs!$B$3,1,0)</f>
        <v>0</v>
      </c>
      <c r="C76" s="0" t="n">
        <f aca="false">MOD(5+MOD(A76-1,7),7)</f>
        <v>5</v>
      </c>
      <c r="D76" s="0" t="n">
        <f aca="false">IF(Inputs!C93&lt;&gt;"",MATCH(Inputs!C93,Inputs!$A$11:$A$17,0)-1,IF(B76=0,0,MATCH(MIN(AH76:AN76),AH76:AN76,0)-1))</f>
        <v>0</v>
      </c>
      <c r="F76" s="0" t="n">
        <f aca="false">IF(OR($B76=0,F$3=0),0,IF(MOD(0-$D76,7)&lt;Inputs!$B$6,0,1))</f>
        <v>0</v>
      </c>
      <c r="G76" s="0" t="n">
        <f aca="false">IF(OR($B76=0,G$3=0),0,IF(MOD(1-$D76,7)&lt;Inputs!$B$6,0,1))</f>
        <v>0</v>
      </c>
      <c r="H76" s="0" t="n">
        <f aca="false">IF(OR($B76=0,H$3=0),0,IF(MOD(2-$D76,7)&lt;Inputs!$B$6,0,1))</f>
        <v>0</v>
      </c>
      <c r="I76" s="0" t="n">
        <f aca="false">IF(OR($B76=0,I$3=0),0,IF(MOD(3-$D76,7)&lt;Inputs!$B$6,0,1))</f>
        <v>0</v>
      </c>
      <c r="J76" s="0" t="n">
        <f aca="false">IF(OR($B76=0,J$3=0),0,IF(MOD(4-$D76,7)&lt;Inputs!$B$6,0,1))</f>
        <v>0</v>
      </c>
      <c r="K76" s="0" t="n">
        <f aca="false">IF(OR($B76=0,K$3=0),0,IF(MOD(5-$D76,7)&lt;Inputs!$B$6,0,1))</f>
        <v>0</v>
      </c>
      <c r="L76" s="0" t="n">
        <f aca="false">IF(OR($B76=0,L$3=0),0,IF(MOD(6-$D76,7)&lt;Inputs!$B$6,0,1))</f>
        <v>0</v>
      </c>
      <c r="M76" s="0" t="n">
        <f aca="false">SUM(F$6:F76)</f>
        <v>7</v>
      </c>
      <c r="N76" s="0" t="n">
        <f aca="false">SUM(G$6:G76)</f>
        <v>7</v>
      </c>
      <c r="O76" s="0" t="n">
        <f aca="false">SUM(H$6:H76)</f>
        <v>8</v>
      </c>
      <c r="P76" s="0" t="n">
        <f aca="false">SUM(I$6:I76)</f>
        <v>7</v>
      </c>
      <c r="Q76" s="0" t="n">
        <f aca="false">SUM(J$6:J76)</f>
        <v>8</v>
      </c>
      <c r="R76" s="0" t="n">
        <f aca="false">SUM(K$6:K76)</f>
        <v>7</v>
      </c>
      <c r="S76" s="0" t="n">
        <f aca="false">SUM(L$6:L76)</f>
        <v>6</v>
      </c>
      <c r="T76" s="18" t="n">
        <f aca="false">IF(F76=0,0,IF(Inputs!$D93="Open",F$1,IF(Inputs!$D93="Close",ROUND(F$2*1440-F$3*60,0)/1440,IF(OR(INT((M76-1)/Inputs!$B$7)=0,(INT((M$3-1-MOD(M76-1,Inputs!$B$7))/Inputs!$B$7)+1)&lt;=1),F$1,IF(INT((M76-1)/Inputs!$B$7)&gt;=(INT((M$3-1-MOD(M76-1,Inputs!$B$7))/Inputs!$B$7)+1)-1,ROUND(F$2*1440-F$3*60,0)/1440,MAX(F$1,MIN(ROUND(F$2*1440-F$3*60,0)/1440,ROUND((F$1+INT((M76-1)/Inputs!$B$7)/((INT((M$3-1-MOD(M76-1,Inputs!$B$7))/Inputs!$B$7)+1)-1)*((ROUND(F$2*1440-F$3*60,0)/1440)-F$1))*96,0)/96)))))))</f>
        <v>0</v>
      </c>
      <c r="U76" s="18" t="n">
        <f aca="false">IF(G76=0,0,IF(Inputs!$D93="Open",G$1,IF(Inputs!$D93="Close",ROUND(G$2*1440-G$3*60,0)/1440,IF(OR(INT((N76-1)/Inputs!$B$7)=0,(INT((N$3-1-MOD(N76-1,Inputs!$B$7))/Inputs!$B$7)+1)&lt;=1),G$1,IF(INT((N76-1)/Inputs!$B$7)&gt;=(INT((N$3-1-MOD(N76-1,Inputs!$B$7))/Inputs!$B$7)+1)-1,ROUND(G$2*1440-G$3*60,0)/1440,MAX(G$1,MIN(ROUND(G$2*1440-G$3*60,0)/1440,ROUND((G$1+INT((N76-1)/Inputs!$B$7)/((INT((N$3-1-MOD(N76-1,Inputs!$B$7))/Inputs!$B$7)+1)-1)*((ROUND(G$2*1440-G$3*60,0)/1440)-G$1))*96,0)/96)))))))</f>
        <v>0</v>
      </c>
      <c r="V76" s="18" t="n">
        <f aca="false">IF(H76=0,0,IF(Inputs!$D93="Open",H$1,IF(Inputs!$D93="Close",ROUND(H$2*1440-H$3*60,0)/1440,IF(OR(INT((O76-1)/Inputs!$B$7)=0,(INT((O$3-1-MOD(O76-1,Inputs!$B$7))/Inputs!$B$7)+1)&lt;=1),H$1,IF(INT((O76-1)/Inputs!$B$7)&gt;=(INT((O$3-1-MOD(O76-1,Inputs!$B$7))/Inputs!$B$7)+1)-1,ROUND(H$2*1440-H$3*60,0)/1440,MAX(H$1,MIN(ROUND(H$2*1440-H$3*60,0)/1440,ROUND((H$1+INT((O76-1)/Inputs!$B$7)/((INT((O$3-1-MOD(O76-1,Inputs!$B$7))/Inputs!$B$7)+1)-1)*((ROUND(H$2*1440-H$3*60,0)/1440)-H$1))*96,0)/96)))))))</f>
        <v>0</v>
      </c>
      <c r="W76" s="18" t="n">
        <f aca="false">IF(I76=0,0,IF(Inputs!$D93="Open",I$1,IF(Inputs!$D93="Close",ROUND(I$2*1440-I$3*60,0)/1440,IF(OR(INT((P76-1)/Inputs!$B$7)=0,(INT((P$3-1-MOD(P76-1,Inputs!$B$7))/Inputs!$B$7)+1)&lt;=1),I$1,IF(INT((P76-1)/Inputs!$B$7)&gt;=(INT((P$3-1-MOD(P76-1,Inputs!$B$7))/Inputs!$B$7)+1)-1,ROUND(I$2*1440-I$3*60,0)/1440,MAX(I$1,MIN(ROUND(I$2*1440-I$3*60,0)/1440,ROUND((I$1+INT((P76-1)/Inputs!$B$7)/((INT((P$3-1-MOD(P76-1,Inputs!$B$7))/Inputs!$B$7)+1)-1)*((ROUND(I$2*1440-I$3*60,0)/1440)-I$1))*96,0)/96)))))))</f>
        <v>0</v>
      </c>
      <c r="X76" s="18" t="n">
        <f aca="false">IF(J76=0,0,IF(Inputs!$D93="Open",J$1,IF(Inputs!$D93="Close",ROUND(J$2*1440-J$3*60,0)/1440,IF(OR(INT((Q76-1)/Inputs!$B$7)=0,(INT((Q$3-1-MOD(Q76-1,Inputs!$B$7))/Inputs!$B$7)+1)&lt;=1),J$1,IF(INT((Q76-1)/Inputs!$B$7)&gt;=(INT((Q$3-1-MOD(Q76-1,Inputs!$B$7))/Inputs!$B$7)+1)-1,ROUND(J$2*1440-J$3*60,0)/1440,MAX(J$1,MIN(ROUND(J$2*1440-J$3*60,0)/1440,ROUND((J$1+INT((Q76-1)/Inputs!$B$7)/((INT((Q$3-1-MOD(Q76-1,Inputs!$B$7))/Inputs!$B$7)+1)-1)*((ROUND(J$2*1440-J$3*60,0)/1440)-J$1))*96,0)/96)))))))</f>
        <v>0</v>
      </c>
      <c r="Y76" s="18" t="n">
        <f aca="false">IF(K76=0,0,IF(Inputs!$D93="Open",K$1,IF(Inputs!$D93="Close",ROUND(K$2*1440-K$3*60,0)/1440,IF(OR(INT((R76-1)/Inputs!$B$7)=0,(INT((R$3-1-MOD(R76-1,Inputs!$B$7))/Inputs!$B$7)+1)&lt;=1),K$1,IF(INT((R76-1)/Inputs!$B$7)&gt;=(INT((R$3-1-MOD(R76-1,Inputs!$B$7))/Inputs!$B$7)+1)-1,ROUND(K$2*1440-K$3*60,0)/1440,MAX(K$1,MIN(ROUND(K$2*1440-K$3*60,0)/1440,ROUND((K$1+INT((R76-1)/Inputs!$B$7)/((INT((R$3-1-MOD(R76-1,Inputs!$B$7))/Inputs!$B$7)+1)-1)*((ROUND(K$2*1440-K$3*60,0)/1440)-K$1))*96,0)/96)))))))</f>
        <v>0</v>
      </c>
      <c r="Z76" s="18" t="n">
        <f aca="false">IF(L76=0,0,IF(Inputs!$D93="Open",L$1,IF(Inputs!$D93="Close",ROUND(L$2*1440-L$3*60,0)/1440,IF(OR(INT((S76-1)/Inputs!$B$7)=0,(INT((S$3-1-MOD(S76-1,Inputs!$B$7))/Inputs!$B$7)+1)&lt;=1),L$1,IF(INT((S76-1)/Inputs!$B$7)&gt;=(INT((S$3-1-MOD(S76-1,Inputs!$B$7))/Inputs!$B$7)+1)-1,ROUND(L$2*1440-L$3*60,0)/1440,MAX(L$1,MIN(ROUND(L$2*1440-L$3*60,0)/1440,ROUND((L$1+INT((S76-1)/Inputs!$B$7)/((INT((S$3-1-MOD(S76-1,Inputs!$B$7))/Inputs!$B$7)+1)-1)*((ROUND(L$2*1440-L$3*60,0)/1440)-L$1))*96,0)/96)))))))</f>
        <v>0</v>
      </c>
      <c r="AA76" s="18" t="n">
        <f aca="false">IF(F76=0,0,ROUND(T76*1440+F$3*60,0)/1440)</f>
        <v>0</v>
      </c>
      <c r="AB76" s="18" t="n">
        <f aca="false">IF(G76=0,0,ROUND(U76*1440+G$3*60,0)/1440)</f>
        <v>0</v>
      </c>
      <c r="AC76" s="18" t="n">
        <f aca="false">IF(H76=0,0,ROUND(V76*1440+H$3*60,0)/1440)</f>
        <v>0</v>
      </c>
      <c r="AD76" s="18" t="n">
        <f aca="false">IF(I76=0,0,ROUND(W76*1440+I$3*60,0)/1440)</f>
        <v>0</v>
      </c>
      <c r="AE76" s="18" t="n">
        <f aca="false">IF(J76=0,0,ROUND(X76*1440+J$3*60,0)/1440)</f>
        <v>0</v>
      </c>
      <c r="AF76" s="18" t="n">
        <f aca="false">IF(K76=0,0,ROUND(Y76*1440+K$3*60,0)/1440)</f>
        <v>0</v>
      </c>
      <c r="AG76" s="18" t="n">
        <f aca="false">IF(L76=0,0,ROUND(Z76*1440+L$3*60,0)/1440)</f>
        <v>0</v>
      </c>
      <c r="AH76" s="19" t="n">
        <f aca="false">SUMPRODUCT((MOD(AO$1:AU$1-0,7)&lt;Inputs!$B$6)*AO$2:AU$2*(AO75:AU75+1))*100+MOD(0-5,7)</f>
        <v>1602</v>
      </c>
      <c r="AI76" s="19" t="n">
        <f aca="false">SUMPRODUCT((MOD(AO$1:AU$1-1,7)&lt;Inputs!$B$6)*AO$2:AU$2*(AO75:AU75+1))*100+MOD(1-5,7)</f>
        <v>1403</v>
      </c>
      <c r="AJ76" s="19" t="n">
        <f aca="false">SUMPRODUCT((MOD(AO$1:AU$1-2,7)&lt;Inputs!$B$6)*AO$2:AU$2*(AO75:AU75+1))*100+MOD(2-5,7)</f>
        <v>1404</v>
      </c>
      <c r="AK76" s="19" t="n">
        <f aca="false">SUMPRODUCT((MOD(AO$1:AU$1-3,7)&lt;Inputs!$B$6)*AO$2:AU$2*(AO75:AU75+1))*100+MOD(3-5,7)</f>
        <v>1405</v>
      </c>
      <c r="AL76" s="19" t="n">
        <f aca="false">SUMPRODUCT((MOD(AO$1:AU$1-4,7)&lt;Inputs!$B$6)*AO$2:AU$2*(AO75:AU75+1))*100+MOD(4-5,7)</f>
        <v>1406</v>
      </c>
      <c r="AM76" s="19" t="n">
        <f aca="false">SUMPRODUCT((MOD(AO$1:AU$1-5,7)&lt;Inputs!$B$6)*AO$2:AU$2*(AO75:AU75+1))*100+MOD(5-5,7)</f>
        <v>1800</v>
      </c>
      <c r="AN76" s="19" t="n">
        <f aca="false">SUMPRODUCT((MOD(AO$1:AU$1-6,7)&lt;Inputs!$B$6)*AO$2:AU$2*(AO75:AU75+1))*100+MOD(6-5,7)</f>
        <v>1801</v>
      </c>
      <c r="AO76" s="19" t="n">
        <f aca="false">AO75+IF($B76=1,IF(MOD(0-$D76,7)&lt;Inputs!$B$6,1,0),0)</f>
        <v>3</v>
      </c>
      <c r="AP76" s="19" t="n">
        <f aca="false">AP75+IF($B76=1,IF(MOD(1-$D76,7)&lt;Inputs!$B$6,1,0),0)</f>
        <v>3</v>
      </c>
      <c r="AQ76" s="19" t="n">
        <f aca="false">AQ75+IF($B76=1,IF(MOD(2-$D76,7)&lt;Inputs!$B$6,1,0),0)</f>
        <v>2</v>
      </c>
      <c r="AR76" s="19" t="n">
        <f aca="false">AR75+IF($B76=1,IF(MOD(3-$D76,7)&lt;Inputs!$B$6,1,0),0)</f>
        <v>3</v>
      </c>
      <c r="AS76" s="19" t="n">
        <f aca="false">AS75+IF($B76=1,IF(MOD(4-$D76,7)&lt;Inputs!$B$6,1,0),0)</f>
        <v>2</v>
      </c>
      <c r="AT76" s="19" t="n">
        <f aca="false">AT75+IF($B76=1,IF(MOD(5-$D76,7)&lt;Inputs!$B$6,1,0),0)</f>
        <v>3</v>
      </c>
      <c r="AU76" s="19" t="n">
        <f aca="false">AU75+IF($B76=1,IF(MOD(6-$D76,7)&lt;Inputs!$B$6,1,0),0)</f>
        <v>4</v>
      </c>
    </row>
    <row r="77" customFormat="false" ht="15" hidden="false" customHeight="false" outlineLevel="0" collapsed="false">
      <c r="A77" s="0" t="n">
        <v>72</v>
      </c>
      <c r="B77" s="0" t="n">
        <f aca="false">IF(A77&lt;=Inputs!$B$3,1,0)</f>
        <v>0</v>
      </c>
      <c r="C77" s="0" t="n">
        <f aca="false">MOD(5+MOD(A77-1,7),7)</f>
        <v>6</v>
      </c>
      <c r="D77" s="0" t="n">
        <f aca="false">IF(Inputs!C94&lt;&gt;"",MATCH(Inputs!C94,Inputs!$A$11:$A$17,0)-1,IF(B77=0,0,MATCH(MIN(AH77:AN77),AH77:AN77,0)-1))</f>
        <v>0</v>
      </c>
      <c r="F77" s="0" t="n">
        <f aca="false">IF(OR($B77=0,F$3=0),0,IF(MOD(0-$D77,7)&lt;Inputs!$B$6,0,1))</f>
        <v>0</v>
      </c>
      <c r="G77" s="0" t="n">
        <f aca="false">IF(OR($B77=0,G$3=0),0,IF(MOD(1-$D77,7)&lt;Inputs!$B$6,0,1))</f>
        <v>0</v>
      </c>
      <c r="H77" s="0" t="n">
        <f aca="false">IF(OR($B77=0,H$3=0),0,IF(MOD(2-$D77,7)&lt;Inputs!$B$6,0,1))</f>
        <v>0</v>
      </c>
      <c r="I77" s="0" t="n">
        <f aca="false">IF(OR($B77=0,I$3=0),0,IF(MOD(3-$D77,7)&lt;Inputs!$B$6,0,1))</f>
        <v>0</v>
      </c>
      <c r="J77" s="0" t="n">
        <f aca="false">IF(OR($B77=0,J$3=0),0,IF(MOD(4-$D77,7)&lt;Inputs!$B$6,0,1))</f>
        <v>0</v>
      </c>
      <c r="K77" s="0" t="n">
        <f aca="false">IF(OR($B77=0,K$3=0),0,IF(MOD(5-$D77,7)&lt;Inputs!$B$6,0,1))</f>
        <v>0</v>
      </c>
      <c r="L77" s="0" t="n">
        <f aca="false">IF(OR($B77=0,L$3=0),0,IF(MOD(6-$D77,7)&lt;Inputs!$B$6,0,1))</f>
        <v>0</v>
      </c>
      <c r="M77" s="0" t="n">
        <f aca="false">SUM(F$6:F77)</f>
        <v>7</v>
      </c>
      <c r="N77" s="0" t="n">
        <f aca="false">SUM(G$6:G77)</f>
        <v>7</v>
      </c>
      <c r="O77" s="0" t="n">
        <f aca="false">SUM(H$6:H77)</f>
        <v>8</v>
      </c>
      <c r="P77" s="0" t="n">
        <f aca="false">SUM(I$6:I77)</f>
        <v>7</v>
      </c>
      <c r="Q77" s="0" t="n">
        <f aca="false">SUM(J$6:J77)</f>
        <v>8</v>
      </c>
      <c r="R77" s="0" t="n">
        <f aca="false">SUM(K$6:K77)</f>
        <v>7</v>
      </c>
      <c r="S77" s="0" t="n">
        <f aca="false">SUM(L$6:L77)</f>
        <v>6</v>
      </c>
      <c r="T77" s="18" t="n">
        <f aca="false">IF(F77=0,0,IF(Inputs!$D94="Open",F$1,IF(Inputs!$D94="Close",ROUND(F$2*1440-F$3*60,0)/1440,IF(OR(INT((M77-1)/Inputs!$B$7)=0,(INT((M$3-1-MOD(M77-1,Inputs!$B$7))/Inputs!$B$7)+1)&lt;=1),F$1,IF(INT((M77-1)/Inputs!$B$7)&gt;=(INT((M$3-1-MOD(M77-1,Inputs!$B$7))/Inputs!$B$7)+1)-1,ROUND(F$2*1440-F$3*60,0)/1440,MAX(F$1,MIN(ROUND(F$2*1440-F$3*60,0)/1440,ROUND((F$1+INT((M77-1)/Inputs!$B$7)/((INT((M$3-1-MOD(M77-1,Inputs!$B$7))/Inputs!$B$7)+1)-1)*((ROUND(F$2*1440-F$3*60,0)/1440)-F$1))*96,0)/96)))))))</f>
        <v>0</v>
      </c>
      <c r="U77" s="18" t="n">
        <f aca="false">IF(G77=0,0,IF(Inputs!$D94="Open",G$1,IF(Inputs!$D94="Close",ROUND(G$2*1440-G$3*60,0)/1440,IF(OR(INT((N77-1)/Inputs!$B$7)=0,(INT((N$3-1-MOD(N77-1,Inputs!$B$7))/Inputs!$B$7)+1)&lt;=1),G$1,IF(INT((N77-1)/Inputs!$B$7)&gt;=(INT((N$3-1-MOD(N77-1,Inputs!$B$7))/Inputs!$B$7)+1)-1,ROUND(G$2*1440-G$3*60,0)/1440,MAX(G$1,MIN(ROUND(G$2*1440-G$3*60,0)/1440,ROUND((G$1+INT((N77-1)/Inputs!$B$7)/((INT((N$3-1-MOD(N77-1,Inputs!$B$7))/Inputs!$B$7)+1)-1)*((ROUND(G$2*1440-G$3*60,0)/1440)-G$1))*96,0)/96)))))))</f>
        <v>0</v>
      </c>
      <c r="V77" s="18" t="n">
        <f aca="false">IF(H77=0,0,IF(Inputs!$D94="Open",H$1,IF(Inputs!$D94="Close",ROUND(H$2*1440-H$3*60,0)/1440,IF(OR(INT((O77-1)/Inputs!$B$7)=0,(INT((O$3-1-MOD(O77-1,Inputs!$B$7))/Inputs!$B$7)+1)&lt;=1),H$1,IF(INT((O77-1)/Inputs!$B$7)&gt;=(INT((O$3-1-MOD(O77-1,Inputs!$B$7))/Inputs!$B$7)+1)-1,ROUND(H$2*1440-H$3*60,0)/1440,MAX(H$1,MIN(ROUND(H$2*1440-H$3*60,0)/1440,ROUND((H$1+INT((O77-1)/Inputs!$B$7)/((INT((O$3-1-MOD(O77-1,Inputs!$B$7))/Inputs!$B$7)+1)-1)*((ROUND(H$2*1440-H$3*60,0)/1440)-H$1))*96,0)/96)))))))</f>
        <v>0</v>
      </c>
      <c r="W77" s="18" t="n">
        <f aca="false">IF(I77=0,0,IF(Inputs!$D94="Open",I$1,IF(Inputs!$D94="Close",ROUND(I$2*1440-I$3*60,0)/1440,IF(OR(INT((P77-1)/Inputs!$B$7)=0,(INT((P$3-1-MOD(P77-1,Inputs!$B$7))/Inputs!$B$7)+1)&lt;=1),I$1,IF(INT((P77-1)/Inputs!$B$7)&gt;=(INT((P$3-1-MOD(P77-1,Inputs!$B$7))/Inputs!$B$7)+1)-1,ROUND(I$2*1440-I$3*60,0)/1440,MAX(I$1,MIN(ROUND(I$2*1440-I$3*60,0)/1440,ROUND((I$1+INT((P77-1)/Inputs!$B$7)/((INT((P$3-1-MOD(P77-1,Inputs!$B$7))/Inputs!$B$7)+1)-1)*((ROUND(I$2*1440-I$3*60,0)/1440)-I$1))*96,0)/96)))))))</f>
        <v>0</v>
      </c>
      <c r="X77" s="18" t="n">
        <f aca="false">IF(J77=0,0,IF(Inputs!$D94="Open",J$1,IF(Inputs!$D94="Close",ROUND(J$2*1440-J$3*60,0)/1440,IF(OR(INT((Q77-1)/Inputs!$B$7)=0,(INT((Q$3-1-MOD(Q77-1,Inputs!$B$7))/Inputs!$B$7)+1)&lt;=1),J$1,IF(INT((Q77-1)/Inputs!$B$7)&gt;=(INT((Q$3-1-MOD(Q77-1,Inputs!$B$7))/Inputs!$B$7)+1)-1,ROUND(J$2*1440-J$3*60,0)/1440,MAX(J$1,MIN(ROUND(J$2*1440-J$3*60,0)/1440,ROUND((J$1+INT((Q77-1)/Inputs!$B$7)/((INT((Q$3-1-MOD(Q77-1,Inputs!$B$7))/Inputs!$B$7)+1)-1)*((ROUND(J$2*1440-J$3*60,0)/1440)-J$1))*96,0)/96)))))))</f>
        <v>0</v>
      </c>
      <c r="Y77" s="18" t="n">
        <f aca="false">IF(K77=0,0,IF(Inputs!$D94="Open",K$1,IF(Inputs!$D94="Close",ROUND(K$2*1440-K$3*60,0)/1440,IF(OR(INT((R77-1)/Inputs!$B$7)=0,(INT((R$3-1-MOD(R77-1,Inputs!$B$7))/Inputs!$B$7)+1)&lt;=1),K$1,IF(INT((R77-1)/Inputs!$B$7)&gt;=(INT((R$3-1-MOD(R77-1,Inputs!$B$7))/Inputs!$B$7)+1)-1,ROUND(K$2*1440-K$3*60,0)/1440,MAX(K$1,MIN(ROUND(K$2*1440-K$3*60,0)/1440,ROUND((K$1+INT((R77-1)/Inputs!$B$7)/((INT((R$3-1-MOD(R77-1,Inputs!$B$7))/Inputs!$B$7)+1)-1)*((ROUND(K$2*1440-K$3*60,0)/1440)-K$1))*96,0)/96)))))))</f>
        <v>0</v>
      </c>
      <c r="Z77" s="18" t="n">
        <f aca="false">IF(L77=0,0,IF(Inputs!$D94="Open",L$1,IF(Inputs!$D94="Close",ROUND(L$2*1440-L$3*60,0)/1440,IF(OR(INT((S77-1)/Inputs!$B$7)=0,(INT((S$3-1-MOD(S77-1,Inputs!$B$7))/Inputs!$B$7)+1)&lt;=1),L$1,IF(INT((S77-1)/Inputs!$B$7)&gt;=(INT((S$3-1-MOD(S77-1,Inputs!$B$7))/Inputs!$B$7)+1)-1,ROUND(L$2*1440-L$3*60,0)/1440,MAX(L$1,MIN(ROUND(L$2*1440-L$3*60,0)/1440,ROUND((L$1+INT((S77-1)/Inputs!$B$7)/((INT((S$3-1-MOD(S77-1,Inputs!$B$7))/Inputs!$B$7)+1)-1)*((ROUND(L$2*1440-L$3*60,0)/1440)-L$1))*96,0)/96)))))))</f>
        <v>0</v>
      </c>
      <c r="AA77" s="18" t="n">
        <f aca="false">IF(F77=0,0,ROUND(T77*1440+F$3*60,0)/1440)</f>
        <v>0</v>
      </c>
      <c r="AB77" s="18" t="n">
        <f aca="false">IF(G77=0,0,ROUND(U77*1440+G$3*60,0)/1440)</f>
        <v>0</v>
      </c>
      <c r="AC77" s="18" t="n">
        <f aca="false">IF(H77=0,0,ROUND(V77*1440+H$3*60,0)/1440)</f>
        <v>0</v>
      </c>
      <c r="AD77" s="18" t="n">
        <f aca="false">IF(I77=0,0,ROUND(W77*1440+I$3*60,0)/1440)</f>
        <v>0</v>
      </c>
      <c r="AE77" s="18" t="n">
        <f aca="false">IF(J77=0,0,ROUND(X77*1440+J$3*60,0)/1440)</f>
        <v>0</v>
      </c>
      <c r="AF77" s="18" t="n">
        <f aca="false">IF(K77=0,0,ROUND(Y77*1440+K$3*60,0)/1440)</f>
        <v>0</v>
      </c>
      <c r="AG77" s="18" t="n">
        <f aca="false">IF(L77=0,0,ROUND(Z77*1440+L$3*60,0)/1440)</f>
        <v>0</v>
      </c>
      <c r="AH77" s="19" t="n">
        <f aca="false">SUMPRODUCT((MOD(AO$1:AU$1-0,7)&lt;Inputs!$B$6)*AO$2:AU$2*(AO76:AU76+1))*100+MOD(0-5,7)</f>
        <v>1602</v>
      </c>
      <c r="AI77" s="19" t="n">
        <f aca="false">SUMPRODUCT((MOD(AO$1:AU$1-1,7)&lt;Inputs!$B$6)*AO$2:AU$2*(AO76:AU76+1))*100+MOD(1-5,7)</f>
        <v>1403</v>
      </c>
      <c r="AJ77" s="19" t="n">
        <f aca="false">SUMPRODUCT((MOD(AO$1:AU$1-2,7)&lt;Inputs!$B$6)*AO$2:AU$2*(AO76:AU76+1))*100+MOD(2-5,7)</f>
        <v>1404</v>
      </c>
      <c r="AK77" s="19" t="n">
        <f aca="false">SUMPRODUCT((MOD(AO$1:AU$1-3,7)&lt;Inputs!$B$6)*AO$2:AU$2*(AO76:AU76+1))*100+MOD(3-5,7)</f>
        <v>1405</v>
      </c>
      <c r="AL77" s="19" t="n">
        <f aca="false">SUMPRODUCT((MOD(AO$1:AU$1-4,7)&lt;Inputs!$B$6)*AO$2:AU$2*(AO76:AU76+1))*100+MOD(4-5,7)</f>
        <v>1406</v>
      </c>
      <c r="AM77" s="19" t="n">
        <f aca="false">SUMPRODUCT((MOD(AO$1:AU$1-5,7)&lt;Inputs!$B$6)*AO$2:AU$2*(AO76:AU76+1))*100+MOD(5-5,7)</f>
        <v>1800</v>
      </c>
      <c r="AN77" s="19" t="n">
        <f aca="false">SUMPRODUCT((MOD(AO$1:AU$1-6,7)&lt;Inputs!$B$6)*AO$2:AU$2*(AO76:AU76+1))*100+MOD(6-5,7)</f>
        <v>1801</v>
      </c>
      <c r="AO77" s="19" t="n">
        <f aca="false">AO76+IF($B77=1,IF(MOD(0-$D77,7)&lt;Inputs!$B$6,1,0),0)</f>
        <v>3</v>
      </c>
      <c r="AP77" s="19" t="n">
        <f aca="false">AP76+IF($B77=1,IF(MOD(1-$D77,7)&lt;Inputs!$B$6,1,0),0)</f>
        <v>3</v>
      </c>
      <c r="AQ77" s="19" t="n">
        <f aca="false">AQ76+IF($B77=1,IF(MOD(2-$D77,7)&lt;Inputs!$B$6,1,0),0)</f>
        <v>2</v>
      </c>
      <c r="AR77" s="19" t="n">
        <f aca="false">AR76+IF($B77=1,IF(MOD(3-$D77,7)&lt;Inputs!$B$6,1,0),0)</f>
        <v>3</v>
      </c>
      <c r="AS77" s="19" t="n">
        <f aca="false">AS76+IF($B77=1,IF(MOD(4-$D77,7)&lt;Inputs!$B$6,1,0),0)</f>
        <v>2</v>
      </c>
      <c r="AT77" s="19" t="n">
        <f aca="false">AT76+IF($B77=1,IF(MOD(5-$D77,7)&lt;Inputs!$B$6,1,0),0)</f>
        <v>3</v>
      </c>
      <c r="AU77" s="19" t="n">
        <f aca="false">AU76+IF($B77=1,IF(MOD(6-$D77,7)&lt;Inputs!$B$6,1,0),0)</f>
        <v>4</v>
      </c>
    </row>
    <row r="78" customFormat="false" ht="15" hidden="false" customHeight="false" outlineLevel="0" collapsed="false">
      <c r="A78" s="0" t="n">
        <v>73</v>
      </c>
      <c r="B78" s="0" t="n">
        <f aca="false">IF(A78&lt;=Inputs!$B$3,1,0)</f>
        <v>0</v>
      </c>
      <c r="C78" s="0" t="n">
        <f aca="false">MOD(5+MOD(A78-1,7),7)</f>
        <v>0</v>
      </c>
      <c r="D78" s="0" t="n">
        <f aca="false">IF(Inputs!C95&lt;&gt;"",MATCH(Inputs!C95,Inputs!$A$11:$A$17,0)-1,IF(B78=0,0,MATCH(MIN(AH78:AN78),AH78:AN78,0)-1))</f>
        <v>0</v>
      </c>
      <c r="F78" s="0" t="n">
        <f aca="false">IF(OR($B78=0,F$3=0),0,IF(MOD(0-$D78,7)&lt;Inputs!$B$6,0,1))</f>
        <v>0</v>
      </c>
      <c r="G78" s="0" t="n">
        <f aca="false">IF(OR($B78=0,G$3=0),0,IF(MOD(1-$D78,7)&lt;Inputs!$B$6,0,1))</f>
        <v>0</v>
      </c>
      <c r="H78" s="0" t="n">
        <f aca="false">IF(OR($B78=0,H$3=0),0,IF(MOD(2-$D78,7)&lt;Inputs!$B$6,0,1))</f>
        <v>0</v>
      </c>
      <c r="I78" s="0" t="n">
        <f aca="false">IF(OR($B78=0,I$3=0),0,IF(MOD(3-$D78,7)&lt;Inputs!$B$6,0,1))</f>
        <v>0</v>
      </c>
      <c r="J78" s="0" t="n">
        <f aca="false">IF(OR($B78=0,J$3=0),0,IF(MOD(4-$D78,7)&lt;Inputs!$B$6,0,1))</f>
        <v>0</v>
      </c>
      <c r="K78" s="0" t="n">
        <f aca="false">IF(OR($B78=0,K$3=0),0,IF(MOD(5-$D78,7)&lt;Inputs!$B$6,0,1))</f>
        <v>0</v>
      </c>
      <c r="L78" s="0" t="n">
        <f aca="false">IF(OR($B78=0,L$3=0),0,IF(MOD(6-$D78,7)&lt;Inputs!$B$6,0,1))</f>
        <v>0</v>
      </c>
      <c r="M78" s="0" t="n">
        <f aca="false">SUM(F$6:F78)</f>
        <v>7</v>
      </c>
      <c r="N78" s="0" t="n">
        <f aca="false">SUM(G$6:G78)</f>
        <v>7</v>
      </c>
      <c r="O78" s="0" t="n">
        <f aca="false">SUM(H$6:H78)</f>
        <v>8</v>
      </c>
      <c r="P78" s="0" t="n">
        <f aca="false">SUM(I$6:I78)</f>
        <v>7</v>
      </c>
      <c r="Q78" s="0" t="n">
        <f aca="false">SUM(J$6:J78)</f>
        <v>8</v>
      </c>
      <c r="R78" s="0" t="n">
        <f aca="false">SUM(K$6:K78)</f>
        <v>7</v>
      </c>
      <c r="S78" s="0" t="n">
        <f aca="false">SUM(L$6:L78)</f>
        <v>6</v>
      </c>
      <c r="T78" s="18" t="n">
        <f aca="false">IF(F78=0,0,IF(Inputs!$D95="Open",F$1,IF(Inputs!$D95="Close",ROUND(F$2*1440-F$3*60,0)/1440,IF(OR(INT((M78-1)/Inputs!$B$7)=0,(INT((M$3-1-MOD(M78-1,Inputs!$B$7))/Inputs!$B$7)+1)&lt;=1),F$1,IF(INT((M78-1)/Inputs!$B$7)&gt;=(INT((M$3-1-MOD(M78-1,Inputs!$B$7))/Inputs!$B$7)+1)-1,ROUND(F$2*1440-F$3*60,0)/1440,MAX(F$1,MIN(ROUND(F$2*1440-F$3*60,0)/1440,ROUND((F$1+INT((M78-1)/Inputs!$B$7)/((INT((M$3-1-MOD(M78-1,Inputs!$B$7))/Inputs!$B$7)+1)-1)*((ROUND(F$2*1440-F$3*60,0)/1440)-F$1))*96,0)/96)))))))</f>
        <v>0</v>
      </c>
      <c r="U78" s="18" t="n">
        <f aca="false">IF(G78=0,0,IF(Inputs!$D95="Open",G$1,IF(Inputs!$D95="Close",ROUND(G$2*1440-G$3*60,0)/1440,IF(OR(INT((N78-1)/Inputs!$B$7)=0,(INT((N$3-1-MOD(N78-1,Inputs!$B$7))/Inputs!$B$7)+1)&lt;=1),G$1,IF(INT((N78-1)/Inputs!$B$7)&gt;=(INT((N$3-1-MOD(N78-1,Inputs!$B$7))/Inputs!$B$7)+1)-1,ROUND(G$2*1440-G$3*60,0)/1440,MAX(G$1,MIN(ROUND(G$2*1440-G$3*60,0)/1440,ROUND((G$1+INT((N78-1)/Inputs!$B$7)/((INT((N$3-1-MOD(N78-1,Inputs!$B$7))/Inputs!$B$7)+1)-1)*((ROUND(G$2*1440-G$3*60,0)/1440)-G$1))*96,0)/96)))))))</f>
        <v>0</v>
      </c>
      <c r="V78" s="18" t="n">
        <f aca="false">IF(H78=0,0,IF(Inputs!$D95="Open",H$1,IF(Inputs!$D95="Close",ROUND(H$2*1440-H$3*60,0)/1440,IF(OR(INT((O78-1)/Inputs!$B$7)=0,(INT((O$3-1-MOD(O78-1,Inputs!$B$7))/Inputs!$B$7)+1)&lt;=1),H$1,IF(INT((O78-1)/Inputs!$B$7)&gt;=(INT((O$3-1-MOD(O78-1,Inputs!$B$7))/Inputs!$B$7)+1)-1,ROUND(H$2*1440-H$3*60,0)/1440,MAX(H$1,MIN(ROUND(H$2*1440-H$3*60,0)/1440,ROUND((H$1+INT((O78-1)/Inputs!$B$7)/((INT((O$3-1-MOD(O78-1,Inputs!$B$7))/Inputs!$B$7)+1)-1)*((ROUND(H$2*1440-H$3*60,0)/1440)-H$1))*96,0)/96)))))))</f>
        <v>0</v>
      </c>
      <c r="W78" s="18" t="n">
        <f aca="false">IF(I78=0,0,IF(Inputs!$D95="Open",I$1,IF(Inputs!$D95="Close",ROUND(I$2*1440-I$3*60,0)/1440,IF(OR(INT((P78-1)/Inputs!$B$7)=0,(INT((P$3-1-MOD(P78-1,Inputs!$B$7))/Inputs!$B$7)+1)&lt;=1),I$1,IF(INT((P78-1)/Inputs!$B$7)&gt;=(INT((P$3-1-MOD(P78-1,Inputs!$B$7))/Inputs!$B$7)+1)-1,ROUND(I$2*1440-I$3*60,0)/1440,MAX(I$1,MIN(ROUND(I$2*1440-I$3*60,0)/1440,ROUND((I$1+INT((P78-1)/Inputs!$B$7)/((INT((P$3-1-MOD(P78-1,Inputs!$B$7))/Inputs!$B$7)+1)-1)*((ROUND(I$2*1440-I$3*60,0)/1440)-I$1))*96,0)/96)))))))</f>
        <v>0</v>
      </c>
      <c r="X78" s="18" t="n">
        <f aca="false">IF(J78=0,0,IF(Inputs!$D95="Open",J$1,IF(Inputs!$D95="Close",ROUND(J$2*1440-J$3*60,0)/1440,IF(OR(INT((Q78-1)/Inputs!$B$7)=0,(INT((Q$3-1-MOD(Q78-1,Inputs!$B$7))/Inputs!$B$7)+1)&lt;=1),J$1,IF(INT((Q78-1)/Inputs!$B$7)&gt;=(INT((Q$3-1-MOD(Q78-1,Inputs!$B$7))/Inputs!$B$7)+1)-1,ROUND(J$2*1440-J$3*60,0)/1440,MAX(J$1,MIN(ROUND(J$2*1440-J$3*60,0)/1440,ROUND((J$1+INT((Q78-1)/Inputs!$B$7)/((INT((Q$3-1-MOD(Q78-1,Inputs!$B$7))/Inputs!$B$7)+1)-1)*((ROUND(J$2*1440-J$3*60,0)/1440)-J$1))*96,0)/96)))))))</f>
        <v>0</v>
      </c>
      <c r="Y78" s="18" t="n">
        <f aca="false">IF(K78=0,0,IF(Inputs!$D95="Open",K$1,IF(Inputs!$D95="Close",ROUND(K$2*1440-K$3*60,0)/1440,IF(OR(INT((R78-1)/Inputs!$B$7)=0,(INT((R$3-1-MOD(R78-1,Inputs!$B$7))/Inputs!$B$7)+1)&lt;=1),K$1,IF(INT((R78-1)/Inputs!$B$7)&gt;=(INT((R$3-1-MOD(R78-1,Inputs!$B$7))/Inputs!$B$7)+1)-1,ROUND(K$2*1440-K$3*60,0)/1440,MAX(K$1,MIN(ROUND(K$2*1440-K$3*60,0)/1440,ROUND((K$1+INT((R78-1)/Inputs!$B$7)/((INT((R$3-1-MOD(R78-1,Inputs!$B$7))/Inputs!$B$7)+1)-1)*((ROUND(K$2*1440-K$3*60,0)/1440)-K$1))*96,0)/96)))))))</f>
        <v>0</v>
      </c>
      <c r="Z78" s="18" t="n">
        <f aca="false">IF(L78=0,0,IF(Inputs!$D95="Open",L$1,IF(Inputs!$D95="Close",ROUND(L$2*1440-L$3*60,0)/1440,IF(OR(INT((S78-1)/Inputs!$B$7)=0,(INT((S$3-1-MOD(S78-1,Inputs!$B$7))/Inputs!$B$7)+1)&lt;=1),L$1,IF(INT((S78-1)/Inputs!$B$7)&gt;=(INT((S$3-1-MOD(S78-1,Inputs!$B$7))/Inputs!$B$7)+1)-1,ROUND(L$2*1440-L$3*60,0)/1440,MAX(L$1,MIN(ROUND(L$2*1440-L$3*60,0)/1440,ROUND((L$1+INT((S78-1)/Inputs!$B$7)/((INT((S$3-1-MOD(S78-1,Inputs!$B$7))/Inputs!$B$7)+1)-1)*((ROUND(L$2*1440-L$3*60,0)/1440)-L$1))*96,0)/96)))))))</f>
        <v>0</v>
      </c>
      <c r="AA78" s="18" t="n">
        <f aca="false">IF(F78=0,0,ROUND(T78*1440+F$3*60,0)/1440)</f>
        <v>0</v>
      </c>
      <c r="AB78" s="18" t="n">
        <f aca="false">IF(G78=0,0,ROUND(U78*1440+G$3*60,0)/1440)</f>
        <v>0</v>
      </c>
      <c r="AC78" s="18" t="n">
        <f aca="false">IF(H78=0,0,ROUND(V78*1440+H$3*60,0)/1440)</f>
        <v>0</v>
      </c>
      <c r="AD78" s="18" t="n">
        <f aca="false">IF(I78=0,0,ROUND(W78*1440+I$3*60,0)/1440)</f>
        <v>0</v>
      </c>
      <c r="AE78" s="18" t="n">
        <f aca="false">IF(J78=0,0,ROUND(X78*1440+J$3*60,0)/1440)</f>
        <v>0</v>
      </c>
      <c r="AF78" s="18" t="n">
        <f aca="false">IF(K78=0,0,ROUND(Y78*1440+K$3*60,0)/1440)</f>
        <v>0</v>
      </c>
      <c r="AG78" s="18" t="n">
        <f aca="false">IF(L78=0,0,ROUND(Z78*1440+L$3*60,0)/1440)</f>
        <v>0</v>
      </c>
      <c r="AH78" s="19" t="n">
        <f aca="false">SUMPRODUCT((MOD(AO$1:AU$1-0,7)&lt;Inputs!$B$6)*AO$2:AU$2*(AO77:AU77+1))*100+MOD(0-5,7)</f>
        <v>1602</v>
      </c>
      <c r="AI78" s="19" t="n">
        <f aca="false">SUMPRODUCT((MOD(AO$1:AU$1-1,7)&lt;Inputs!$B$6)*AO$2:AU$2*(AO77:AU77+1))*100+MOD(1-5,7)</f>
        <v>1403</v>
      </c>
      <c r="AJ78" s="19" t="n">
        <f aca="false">SUMPRODUCT((MOD(AO$1:AU$1-2,7)&lt;Inputs!$B$6)*AO$2:AU$2*(AO77:AU77+1))*100+MOD(2-5,7)</f>
        <v>1404</v>
      </c>
      <c r="AK78" s="19" t="n">
        <f aca="false">SUMPRODUCT((MOD(AO$1:AU$1-3,7)&lt;Inputs!$B$6)*AO$2:AU$2*(AO77:AU77+1))*100+MOD(3-5,7)</f>
        <v>1405</v>
      </c>
      <c r="AL78" s="19" t="n">
        <f aca="false">SUMPRODUCT((MOD(AO$1:AU$1-4,7)&lt;Inputs!$B$6)*AO$2:AU$2*(AO77:AU77+1))*100+MOD(4-5,7)</f>
        <v>1406</v>
      </c>
      <c r="AM78" s="19" t="n">
        <f aca="false">SUMPRODUCT((MOD(AO$1:AU$1-5,7)&lt;Inputs!$B$6)*AO$2:AU$2*(AO77:AU77+1))*100+MOD(5-5,7)</f>
        <v>1800</v>
      </c>
      <c r="AN78" s="19" t="n">
        <f aca="false">SUMPRODUCT((MOD(AO$1:AU$1-6,7)&lt;Inputs!$B$6)*AO$2:AU$2*(AO77:AU77+1))*100+MOD(6-5,7)</f>
        <v>1801</v>
      </c>
      <c r="AO78" s="19" t="n">
        <f aca="false">AO77+IF($B78=1,IF(MOD(0-$D78,7)&lt;Inputs!$B$6,1,0),0)</f>
        <v>3</v>
      </c>
      <c r="AP78" s="19" t="n">
        <f aca="false">AP77+IF($B78=1,IF(MOD(1-$D78,7)&lt;Inputs!$B$6,1,0),0)</f>
        <v>3</v>
      </c>
      <c r="AQ78" s="19" t="n">
        <f aca="false">AQ77+IF($B78=1,IF(MOD(2-$D78,7)&lt;Inputs!$B$6,1,0),0)</f>
        <v>2</v>
      </c>
      <c r="AR78" s="19" t="n">
        <f aca="false">AR77+IF($B78=1,IF(MOD(3-$D78,7)&lt;Inputs!$B$6,1,0),0)</f>
        <v>3</v>
      </c>
      <c r="AS78" s="19" t="n">
        <f aca="false">AS77+IF($B78=1,IF(MOD(4-$D78,7)&lt;Inputs!$B$6,1,0),0)</f>
        <v>2</v>
      </c>
      <c r="AT78" s="19" t="n">
        <f aca="false">AT77+IF($B78=1,IF(MOD(5-$D78,7)&lt;Inputs!$B$6,1,0),0)</f>
        <v>3</v>
      </c>
      <c r="AU78" s="19" t="n">
        <f aca="false">AU77+IF($B78=1,IF(MOD(6-$D78,7)&lt;Inputs!$B$6,1,0),0)</f>
        <v>4</v>
      </c>
    </row>
    <row r="79" customFormat="false" ht="15" hidden="false" customHeight="false" outlineLevel="0" collapsed="false">
      <c r="A79" s="0" t="n">
        <v>74</v>
      </c>
      <c r="B79" s="0" t="n">
        <f aca="false">IF(A79&lt;=Inputs!$B$3,1,0)</f>
        <v>0</v>
      </c>
      <c r="C79" s="0" t="n">
        <f aca="false">MOD(5+MOD(A79-1,7),7)</f>
        <v>1</v>
      </c>
      <c r="D79" s="0" t="n">
        <f aca="false">IF(Inputs!C96&lt;&gt;"",MATCH(Inputs!C96,Inputs!$A$11:$A$17,0)-1,IF(B79=0,0,MATCH(MIN(AH79:AN79),AH79:AN79,0)-1))</f>
        <v>0</v>
      </c>
      <c r="F79" s="0" t="n">
        <f aca="false">IF(OR($B79=0,F$3=0),0,IF(MOD(0-$D79,7)&lt;Inputs!$B$6,0,1))</f>
        <v>0</v>
      </c>
      <c r="G79" s="0" t="n">
        <f aca="false">IF(OR($B79=0,G$3=0),0,IF(MOD(1-$D79,7)&lt;Inputs!$B$6,0,1))</f>
        <v>0</v>
      </c>
      <c r="H79" s="0" t="n">
        <f aca="false">IF(OR($B79=0,H$3=0),0,IF(MOD(2-$D79,7)&lt;Inputs!$B$6,0,1))</f>
        <v>0</v>
      </c>
      <c r="I79" s="0" t="n">
        <f aca="false">IF(OR($B79=0,I$3=0),0,IF(MOD(3-$D79,7)&lt;Inputs!$B$6,0,1))</f>
        <v>0</v>
      </c>
      <c r="J79" s="0" t="n">
        <f aca="false">IF(OR($B79=0,J$3=0),0,IF(MOD(4-$D79,7)&lt;Inputs!$B$6,0,1))</f>
        <v>0</v>
      </c>
      <c r="K79" s="0" t="n">
        <f aca="false">IF(OR($B79=0,K$3=0),0,IF(MOD(5-$D79,7)&lt;Inputs!$B$6,0,1))</f>
        <v>0</v>
      </c>
      <c r="L79" s="0" t="n">
        <f aca="false">IF(OR($B79=0,L$3=0),0,IF(MOD(6-$D79,7)&lt;Inputs!$B$6,0,1))</f>
        <v>0</v>
      </c>
      <c r="M79" s="0" t="n">
        <f aca="false">SUM(F$6:F79)</f>
        <v>7</v>
      </c>
      <c r="N79" s="0" t="n">
        <f aca="false">SUM(G$6:G79)</f>
        <v>7</v>
      </c>
      <c r="O79" s="0" t="n">
        <f aca="false">SUM(H$6:H79)</f>
        <v>8</v>
      </c>
      <c r="P79" s="0" t="n">
        <f aca="false">SUM(I$6:I79)</f>
        <v>7</v>
      </c>
      <c r="Q79" s="0" t="n">
        <f aca="false">SUM(J$6:J79)</f>
        <v>8</v>
      </c>
      <c r="R79" s="0" t="n">
        <f aca="false">SUM(K$6:K79)</f>
        <v>7</v>
      </c>
      <c r="S79" s="0" t="n">
        <f aca="false">SUM(L$6:L79)</f>
        <v>6</v>
      </c>
      <c r="T79" s="18" t="n">
        <f aca="false">IF(F79=0,0,IF(Inputs!$D96="Open",F$1,IF(Inputs!$D96="Close",ROUND(F$2*1440-F$3*60,0)/1440,IF(OR(INT((M79-1)/Inputs!$B$7)=0,(INT((M$3-1-MOD(M79-1,Inputs!$B$7))/Inputs!$B$7)+1)&lt;=1),F$1,IF(INT((M79-1)/Inputs!$B$7)&gt;=(INT((M$3-1-MOD(M79-1,Inputs!$B$7))/Inputs!$B$7)+1)-1,ROUND(F$2*1440-F$3*60,0)/1440,MAX(F$1,MIN(ROUND(F$2*1440-F$3*60,0)/1440,ROUND((F$1+INT((M79-1)/Inputs!$B$7)/((INT((M$3-1-MOD(M79-1,Inputs!$B$7))/Inputs!$B$7)+1)-1)*((ROUND(F$2*1440-F$3*60,0)/1440)-F$1))*96,0)/96)))))))</f>
        <v>0</v>
      </c>
      <c r="U79" s="18" t="n">
        <f aca="false">IF(G79=0,0,IF(Inputs!$D96="Open",G$1,IF(Inputs!$D96="Close",ROUND(G$2*1440-G$3*60,0)/1440,IF(OR(INT((N79-1)/Inputs!$B$7)=0,(INT((N$3-1-MOD(N79-1,Inputs!$B$7))/Inputs!$B$7)+1)&lt;=1),G$1,IF(INT((N79-1)/Inputs!$B$7)&gt;=(INT((N$3-1-MOD(N79-1,Inputs!$B$7))/Inputs!$B$7)+1)-1,ROUND(G$2*1440-G$3*60,0)/1440,MAX(G$1,MIN(ROUND(G$2*1440-G$3*60,0)/1440,ROUND((G$1+INT((N79-1)/Inputs!$B$7)/((INT((N$3-1-MOD(N79-1,Inputs!$B$7))/Inputs!$B$7)+1)-1)*((ROUND(G$2*1440-G$3*60,0)/1440)-G$1))*96,0)/96)))))))</f>
        <v>0</v>
      </c>
      <c r="V79" s="18" t="n">
        <f aca="false">IF(H79=0,0,IF(Inputs!$D96="Open",H$1,IF(Inputs!$D96="Close",ROUND(H$2*1440-H$3*60,0)/1440,IF(OR(INT((O79-1)/Inputs!$B$7)=0,(INT((O$3-1-MOD(O79-1,Inputs!$B$7))/Inputs!$B$7)+1)&lt;=1),H$1,IF(INT((O79-1)/Inputs!$B$7)&gt;=(INT((O$3-1-MOD(O79-1,Inputs!$B$7))/Inputs!$B$7)+1)-1,ROUND(H$2*1440-H$3*60,0)/1440,MAX(H$1,MIN(ROUND(H$2*1440-H$3*60,0)/1440,ROUND((H$1+INT((O79-1)/Inputs!$B$7)/((INT((O$3-1-MOD(O79-1,Inputs!$B$7))/Inputs!$B$7)+1)-1)*((ROUND(H$2*1440-H$3*60,0)/1440)-H$1))*96,0)/96)))))))</f>
        <v>0</v>
      </c>
      <c r="W79" s="18" t="n">
        <f aca="false">IF(I79=0,0,IF(Inputs!$D96="Open",I$1,IF(Inputs!$D96="Close",ROUND(I$2*1440-I$3*60,0)/1440,IF(OR(INT((P79-1)/Inputs!$B$7)=0,(INT((P$3-1-MOD(P79-1,Inputs!$B$7))/Inputs!$B$7)+1)&lt;=1),I$1,IF(INT((P79-1)/Inputs!$B$7)&gt;=(INT((P$3-1-MOD(P79-1,Inputs!$B$7))/Inputs!$B$7)+1)-1,ROUND(I$2*1440-I$3*60,0)/1440,MAX(I$1,MIN(ROUND(I$2*1440-I$3*60,0)/1440,ROUND((I$1+INT((P79-1)/Inputs!$B$7)/((INT((P$3-1-MOD(P79-1,Inputs!$B$7))/Inputs!$B$7)+1)-1)*((ROUND(I$2*1440-I$3*60,0)/1440)-I$1))*96,0)/96)))))))</f>
        <v>0</v>
      </c>
      <c r="X79" s="18" t="n">
        <f aca="false">IF(J79=0,0,IF(Inputs!$D96="Open",J$1,IF(Inputs!$D96="Close",ROUND(J$2*1440-J$3*60,0)/1440,IF(OR(INT((Q79-1)/Inputs!$B$7)=0,(INT((Q$3-1-MOD(Q79-1,Inputs!$B$7))/Inputs!$B$7)+1)&lt;=1),J$1,IF(INT((Q79-1)/Inputs!$B$7)&gt;=(INT((Q$3-1-MOD(Q79-1,Inputs!$B$7))/Inputs!$B$7)+1)-1,ROUND(J$2*1440-J$3*60,0)/1440,MAX(J$1,MIN(ROUND(J$2*1440-J$3*60,0)/1440,ROUND((J$1+INT((Q79-1)/Inputs!$B$7)/((INT((Q$3-1-MOD(Q79-1,Inputs!$B$7))/Inputs!$B$7)+1)-1)*((ROUND(J$2*1440-J$3*60,0)/1440)-J$1))*96,0)/96)))))))</f>
        <v>0</v>
      </c>
      <c r="Y79" s="18" t="n">
        <f aca="false">IF(K79=0,0,IF(Inputs!$D96="Open",K$1,IF(Inputs!$D96="Close",ROUND(K$2*1440-K$3*60,0)/1440,IF(OR(INT((R79-1)/Inputs!$B$7)=0,(INT((R$3-1-MOD(R79-1,Inputs!$B$7))/Inputs!$B$7)+1)&lt;=1),K$1,IF(INT((R79-1)/Inputs!$B$7)&gt;=(INT((R$3-1-MOD(R79-1,Inputs!$B$7))/Inputs!$B$7)+1)-1,ROUND(K$2*1440-K$3*60,0)/1440,MAX(K$1,MIN(ROUND(K$2*1440-K$3*60,0)/1440,ROUND((K$1+INT((R79-1)/Inputs!$B$7)/((INT((R$3-1-MOD(R79-1,Inputs!$B$7))/Inputs!$B$7)+1)-1)*((ROUND(K$2*1440-K$3*60,0)/1440)-K$1))*96,0)/96)))))))</f>
        <v>0</v>
      </c>
      <c r="Z79" s="18" t="n">
        <f aca="false">IF(L79=0,0,IF(Inputs!$D96="Open",L$1,IF(Inputs!$D96="Close",ROUND(L$2*1440-L$3*60,0)/1440,IF(OR(INT((S79-1)/Inputs!$B$7)=0,(INT((S$3-1-MOD(S79-1,Inputs!$B$7))/Inputs!$B$7)+1)&lt;=1),L$1,IF(INT((S79-1)/Inputs!$B$7)&gt;=(INT((S$3-1-MOD(S79-1,Inputs!$B$7))/Inputs!$B$7)+1)-1,ROUND(L$2*1440-L$3*60,0)/1440,MAX(L$1,MIN(ROUND(L$2*1440-L$3*60,0)/1440,ROUND((L$1+INT((S79-1)/Inputs!$B$7)/((INT((S$3-1-MOD(S79-1,Inputs!$B$7))/Inputs!$B$7)+1)-1)*((ROUND(L$2*1440-L$3*60,0)/1440)-L$1))*96,0)/96)))))))</f>
        <v>0</v>
      </c>
      <c r="AA79" s="18" t="n">
        <f aca="false">IF(F79=0,0,ROUND(T79*1440+F$3*60,0)/1440)</f>
        <v>0</v>
      </c>
      <c r="AB79" s="18" t="n">
        <f aca="false">IF(G79=0,0,ROUND(U79*1440+G$3*60,0)/1440)</f>
        <v>0</v>
      </c>
      <c r="AC79" s="18" t="n">
        <f aca="false">IF(H79=0,0,ROUND(V79*1440+H$3*60,0)/1440)</f>
        <v>0</v>
      </c>
      <c r="AD79" s="18" t="n">
        <f aca="false">IF(I79=0,0,ROUND(W79*1440+I$3*60,0)/1440)</f>
        <v>0</v>
      </c>
      <c r="AE79" s="18" t="n">
        <f aca="false">IF(J79=0,0,ROUND(X79*1440+J$3*60,0)/1440)</f>
        <v>0</v>
      </c>
      <c r="AF79" s="18" t="n">
        <f aca="false">IF(K79=0,0,ROUND(Y79*1440+K$3*60,0)/1440)</f>
        <v>0</v>
      </c>
      <c r="AG79" s="18" t="n">
        <f aca="false">IF(L79=0,0,ROUND(Z79*1440+L$3*60,0)/1440)</f>
        <v>0</v>
      </c>
      <c r="AH79" s="19" t="n">
        <f aca="false">SUMPRODUCT((MOD(AO$1:AU$1-0,7)&lt;Inputs!$B$6)*AO$2:AU$2*(AO78:AU78+1))*100+MOD(0-5,7)</f>
        <v>1602</v>
      </c>
      <c r="AI79" s="19" t="n">
        <f aca="false">SUMPRODUCT((MOD(AO$1:AU$1-1,7)&lt;Inputs!$B$6)*AO$2:AU$2*(AO78:AU78+1))*100+MOD(1-5,7)</f>
        <v>1403</v>
      </c>
      <c r="AJ79" s="19" t="n">
        <f aca="false">SUMPRODUCT((MOD(AO$1:AU$1-2,7)&lt;Inputs!$B$6)*AO$2:AU$2*(AO78:AU78+1))*100+MOD(2-5,7)</f>
        <v>1404</v>
      </c>
      <c r="AK79" s="19" t="n">
        <f aca="false">SUMPRODUCT((MOD(AO$1:AU$1-3,7)&lt;Inputs!$B$6)*AO$2:AU$2*(AO78:AU78+1))*100+MOD(3-5,7)</f>
        <v>1405</v>
      </c>
      <c r="AL79" s="19" t="n">
        <f aca="false">SUMPRODUCT((MOD(AO$1:AU$1-4,7)&lt;Inputs!$B$6)*AO$2:AU$2*(AO78:AU78+1))*100+MOD(4-5,7)</f>
        <v>1406</v>
      </c>
      <c r="AM79" s="19" t="n">
        <f aca="false">SUMPRODUCT((MOD(AO$1:AU$1-5,7)&lt;Inputs!$B$6)*AO$2:AU$2*(AO78:AU78+1))*100+MOD(5-5,7)</f>
        <v>1800</v>
      </c>
      <c r="AN79" s="19" t="n">
        <f aca="false">SUMPRODUCT((MOD(AO$1:AU$1-6,7)&lt;Inputs!$B$6)*AO$2:AU$2*(AO78:AU78+1))*100+MOD(6-5,7)</f>
        <v>1801</v>
      </c>
      <c r="AO79" s="19" t="n">
        <f aca="false">AO78+IF($B79=1,IF(MOD(0-$D79,7)&lt;Inputs!$B$6,1,0),0)</f>
        <v>3</v>
      </c>
      <c r="AP79" s="19" t="n">
        <f aca="false">AP78+IF($B79=1,IF(MOD(1-$D79,7)&lt;Inputs!$B$6,1,0),0)</f>
        <v>3</v>
      </c>
      <c r="AQ79" s="19" t="n">
        <f aca="false">AQ78+IF($B79=1,IF(MOD(2-$D79,7)&lt;Inputs!$B$6,1,0),0)</f>
        <v>2</v>
      </c>
      <c r="AR79" s="19" t="n">
        <f aca="false">AR78+IF($B79=1,IF(MOD(3-$D79,7)&lt;Inputs!$B$6,1,0),0)</f>
        <v>3</v>
      </c>
      <c r="AS79" s="19" t="n">
        <f aca="false">AS78+IF($B79=1,IF(MOD(4-$D79,7)&lt;Inputs!$B$6,1,0),0)</f>
        <v>2</v>
      </c>
      <c r="AT79" s="19" t="n">
        <f aca="false">AT78+IF($B79=1,IF(MOD(5-$D79,7)&lt;Inputs!$B$6,1,0),0)</f>
        <v>3</v>
      </c>
      <c r="AU79" s="19" t="n">
        <f aca="false">AU78+IF($B79=1,IF(MOD(6-$D79,7)&lt;Inputs!$B$6,1,0),0)</f>
        <v>4</v>
      </c>
    </row>
    <row r="80" customFormat="false" ht="15" hidden="false" customHeight="false" outlineLevel="0" collapsed="false">
      <c r="A80" s="0" t="n">
        <v>75</v>
      </c>
      <c r="B80" s="0" t="n">
        <f aca="false">IF(A80&lt;=Inputs!$B$3,1,0)</f>
        <v>0</v>
      </c>
      <c r="C80" s="0" t="n">
        <f aca="false">MOD(5+MOD(A80-1,7),7)</f>
        <v>2</v>
      </c>
      <c r="D80" s="0" t="n">
        <f aca="false">IF(Inputs!C97&lt;&gt;"",MATCH(Inputs!C97,Inputs!$A$11:$A$17,0)-1,IF(B80=0,0,MATCH(MIN(AH80:AN80),AH80:AN80,0)-1))</f>
        <v>0</v>
      </c>
      <c r="F80" s="0" t="n">
        <f aca="false">IF(OR($B80=0,F$3=0),0,IF(MOD(0-$D80,7)&lt;Inputs!$B$6,0,1))</f>
        <v>0</v>
      </c>
      <c r="G80" s="0" t="n">
        <f aca="false">IF(OR($B80=0,G$3=0),0,IF(MOD(1-$D80,7)&lt;Inputs!$B$6,0,1))</f>
        <v>0</v>
      </c>
      <c r="H80" s="0" t="n">
        <f aca="false">IF(OR($B80=0,H$3=0),0,IF(MOD(2-$D80,7)&lt;Inputs!$B$6,0,1))</f>
        <v>0</v>
      </c>
      <c r="I80" s="0" t="n">
        <f aca="false">IF(OR($B80=0,I$3=0),0,IF(MOD(3-$D80,7)&lt;Inputs!$B$6,0,1))</f>
        <v>0</v>
      </c>
      <c r="J80" s="0" t="n">
        <f aca="false">IF(OR($B80=0,J$3=0),0,IF(MOD(4-$D80,7)&lt;Inputs!$B$6,0,1))</f>
        <v>0</v>
      </c>
      <c r="K80" s="0" t="n">
        <f aca="false">IF(OR($B80=0,K$3=0),0,IF(MOD(5-$D80,7)&lt;Inputs!$B$6,0,1))</f>
        <v>0</v>
      </c>
      <c r="L80" s="0" t="n">
        <f aca="false">IF(OR($B80=0,L$3=0),0,IF(MOD(6-$D80,7)&lt;Inputs!$B$6,0,1))</f>
        <v>0</v>
      </c>
      <c r="M80" s="0" t="n">
        <f aca="false">SUM(F$6:F80)</f>
        <v>7</v>
      </c>
      <c r="N80" s="0" t="n">
        <f aca="false">SUM(G$6:G80)</f>
        <v>7</v>
      </c>
      <c r="O80" s="0" t="n">
        <f aca="false">SUM(H$6:H80)</f>
        <v>8</v>
      </c>
      <c r="P80" s="0" t="n">
        <f aca="false">SUM(I$6:I80)</f>
        <v>7</v>
      </c>
      <c r="Q80" s="0" t="n">
        <f aca="false">SUM(J$6:J80)</f>
        <v>8</v>
      </c>
      <c r="R80" s="0" t="n">
        <f aca="false">SUM(K$6:K80)</f>
        <v>7</v>
      </c>
      <c r="S80" s="0" t="n">
        <f aca="false">SUM(L$6:L80)</f>
        <v>6</v>
      </c>
      <c r="T80" s="18" t="n">
        <f aca="false">IF(F80=0,0,IF(Inputs!$D97="Open",F$1,IF(Inputs!$D97="Close",ROUND(F$2*1440-F$3*60,0)/1440,IF(OR(INT((M80-1)/Inputs!$B$7)=0,(INT((M$3-1-MOD(M80-1,Inputs!$B$7))/Inputs!$B$7)+1)&lt;=1),F$1,IF(INT((M80-1)/Inputs!$B$7)&gt;=(INT((M$3-1-MOD(M80-1,Inputs!$B$7))/Inputs!$B$7)+1)-1,ROUND(F$2*1440-F$3*60,0)/1440,MAX(F$1,MIN(ROUND(F$2*1440-F$3*60,0)/1440,ROUND((F$1+INT((M80-1)/Inputs!$B$7)/((INT((M$3-1-MOD(M80-1,Inputs!$B$7))/Inputs!$B$7)+1)-1)*((ROUND(F$2*1440-F$3*60,0)/1440)-F$1))*96,0)/96)))))))</f>
        <v>0</v>
      </c>
      <c r="U80" s="18" t="n">
        <f aca="false">IF(G80=0,0,IF(Inputs!$D97="Open",G$1,IF(Inputs!$D97="Close",ROUND(G$2*1440-G$3*60,0)/1440,IF(OR(INT((N80-1)/Inputs!$B$7)=0,(INT((N$3-1-MOD(N80-1,Inputs!$B$7))/Inputs!$B$7)+1)&lt;=1),G$1,IF(INT((N80-1)/Inputs!$B$7)&gt;=(INT((N$3-1-MOD(N80-1,Inputs!$B$7))/Inputs!$B$7)+1)-1,ROUND(G$2*1440-G$3*60,0)/1440,MAX(G$1,MIN(ROUND(G$2*1440-G$3*60,0)/1440,ROUND((G$1+INT((N80-1)/Inputs!$B$7)/((INT((N$3-1-MOD(N80-1,Inputs!$B$7))/Inputs!$B$7)+1)-1)*((ROUND(G$2*1440-G$3*60,0)/1440)-G$1))*96,0)/96)))))))</f>
        <v>0</v>
      </c>
      <c r="V80" s="18" t="n">
        <f aca="false">IF(H80=0,0,IF(Inputs!$D97="Open",H$1,IF(Inputs!$D97="Close",ROUND(H$2*1440-H$3*60,0)/1440,IF(OR(INT((O80-1)/Inputs!$B$7)=0,(INT((O$3-1-MOD(O80-1,Inputs!$B$7))/Inputs!$B$7)+1)&lt;=1),H$1,IF(INT((O80-1)/Inputs!$B$7)&gt;=(INT((O$3-1-MOD(O80-1,Inputs!$B$7))/Inputs!$B$7)+1)-1,ROUND(H$2*1440-H$3*60,0)/1440,MAX(H$1,MIN(ROUND(H$2*1440-H$3*60,0)/1440,ROUND((H$1+INT((O80-1)/Inputs!$B$7)/((INT((O$3-1-MOD(O80-1,Inputs!$B$7))/Inputs!$B$7)+1)-1)*((ROUND(H$2*1440-H$3*60,0)/1440)-H$1))*96,0)/96)))))))</f>
        <v>0</v>
      </c>
      <c r="W80" s="18" t="n">
        <f aca="false">IF(I80=0,0,IF(Inputs!$D97="Open",I$1,IF(Inputs!$D97="Close",ROUND(I$2*1440-I$3*60,0)/1440,IF(OR(INT((P80-1)/Inputs!$B$7)=0,(INT((P$3-1-MOD(P80-1,Inputs!$B$7))/Inputs!$B$7)+1)&lt;=1),I$1,IF(INT((P80-1)/Inputs!$B$7)&gt;=(INT((P$3-1-MOD(P80-1,Inputs!$B$7))/Inputs!$B$7)+1)-1,ROUND(I$2*1440-I$3*60,0)/1440,MAX(I$1,MIN(ROUND(I$2*1440-I$3*60,0)/1440,ROUND((I$1+INT((P80-1)/Inputs!$B$7)/((INT((P$3-1-MOD(P80-1,Inputs!$B$7))/Inputs!$B$7)+1)-1)*((ROUND(I$2*1440-I$3*60,0)/1440)-I$1))*96,0)/96)))))))</f>
        <v>0</v>
      </c>
      <c r="X80" s="18" t="n">
        <f aca="false">IF(J80=0,0,IF(Inputs!$D97="Open",J$1,IF(Inputs!$D97="Close",ROUND(J$2*1440-J$3*60,0)/1440,IF(OR(INT((Q80-1)/Inputs!$B$7)=0,(INT((Q$3-1-MOD(Q80-1,Inputs!$B$7))/Inputs!$B$7)+1)&lt;=1),J$1,IF(INT((Q80-1)/Inputs!$B$7)&gt;=(INT((Q$3-1-MOD(Q80-1,Inputs!$B$7))/Inputs!$B$7)+1)-1,ROUND(J$2*1440-J$3*60,0)/1440,MAX(J$1,MIN(ROUND(J$2*1440-J$3*60,0)/1440,ROUND((J$1+INT((Q80-1)/Inputs!$B$7)/((INT((Q$3-1-MOD(Q80-1,Inputs!$B$7))/Inputs!$B$7)+1)-1)*((ROUND(J$2*1440-J$3*60,0)/1440)-J$1))*96,0)/96)))))))</f>
        <v>0</v>
      </c>
      <c r="Y80" s="18" t="n">
        <f aca="false">IF(K80=0,0,IF(Inputs!$D97="Open",K$1,IF(Inputs!$D97="Close",ROUND(K$2*1440-K$3*60,0)/1440,IF(OR(INT((R80-1)/Inputs!$B$7)=0,(INT((R$3-1-MOD(R80-1,Inputs!$B$7))/Inputs!$B$7)+1)&lt;=1),K$1,IF(INT((R80-1)/Inputs!$B$7)&gt;=(INT((R$3-1-MOD(R80-1,Inputs!$B$7))/Inputs!$B$7)+1)-1,ROUND(K$2*1440-K$3*60,0)/1440,MAX(K$1,MIN(ROUND(K$2*1440-K$3*60,0)/1440,ROUND((K$1+INT((R80-1)/Inputs!$B$7)/((INT((R$3-1-MOD(R80-1,Inputs!$B$7))/Inputs!$B$7)+1)-1)*((ROUND(K$2*1440-K$3*60,0)/1440)-K$1))*96,0)/96)))))))</f>
        <v>0</v>
      </c>
      <c r="Z80" s="18" t="n">
        <f aca="false">IF(L80=0,0,IF(Inputs!$D97="Open",L$1,IF(Inputs!$D97="Close",ROUND(L$2*1440-L$3*60,0)/1440,IF(OR(INT((S80-1)/Inputs!$B$7)=0,(INT((S$3-1-MOD(S80-1,Inputs!$B$7))/Inputs!$B$7)+1)&lt;=1),L$1,IF(INT((S80-1)/Inputs!$B$7)&gt;=(INT((S$3-1-MOD(S80-1,Inputs!$B$7))/Inputs!$B$7)+1)-1,ROUND(L$2*1440-L$3*60,0)/1440,MAX(L$1,MIN(ROUND(L$2*1440-L$3*60,0)/1440,ROUND((L$1+INT((S80-1)/Inputs!$B$7)/((INT((S$3-1-MOD(S80-1,Inputs!$B$7))/Inputs!$B$7)+1)-1)*((ROUND(L$2*1440-L$3*60,0)/1440)-L$1))*96,0)/96)))))))</f>
        <v>0</v>
      </c>
      <c r="AA80" s="18" t="n">
        <f aca="false">IF(F80=0,0,ROUND(T80*1440+F$3*60,0)/1440)</f>
        <v>0</v>
      </c>
      <c r="AB80" s="18" t="n">
        <f aca="false">IF(G80=0,0,ROUND(U80*1440+G$3*60,0)/1440)</f>
        <v>0</v>
      </c>
      <c r="AC80" s="18" t="n">
        <f aca="false">IF(H80=0,0,ROUND(V80*1440+H$3*60,0)/1440)</f>
        <v>0</v>
      </c>
      <c r="AD80" s="18" t="n">
        <f aca="false">IF(I80=0,0,ROUND(W80*1440+I$3*60,0)/1440)</f>
        <v>0</v>
      </c>
      <c r="AE80" s="18" t="n">
        <f aca="false">IF(J80=0,0,ROUND(X80*1440+J$3*60,0)/1440)</f>
        <v>0</v>
      </c>
      <c r="AF80" s="18" t="n">
        <f aca="false">IF(K80=0,0,ROUND(Y80*1440+K$3*60,0)/1440)</f>
        <v>0</v>
      </c>
      <c r="AG80" s="18" t="n">
        <f aca="false">IF(L80=0,0,ROUND(Z80*1440+L$3*60,0)/1440)</f>
        <v>0</v>
      </c>
      <c r="AH80" s="19" t="n">
        <f aca="false">SUMPRODUCT((MOD(AO$1:AU$1-0,7)&lt;Inputs!$B$6)*AO$2:AU$2*(AO79:AU79+1))*100+MOD(0-5,7)</f>
        <v>1602</v>
      </c>
      <c r="AI80" s="19" t="n">
        <f aca="false">SUMPRODUCT((MOD(AO$1:AU$1-1,7)&lt;Inputs!$B$6)*AO$2:AU$2*(AO79:AU79+1))*100+MOD(1-5,7)</f>
        <v>1403</v>
      </c>
      <c r="AJ80" s="19" t="n">
        <f aca="false">SUMPRODUCT((MOD(AO$1:AU$1-2,7)&lt;Inputs!$B$6)*AO$2:AU$2*(AO79:AU79+1))*100+MOD(2-5,7)</f>
        <v>1404</v>
      </c>
      <c r="AK80" s="19" t="n">
        <f aca="false">SUMPRODUCT((MOD(AO$1:AU$1-3,7)&lt;Inputs!$B$6)*AO$2:AU$2*(AO79:AU79+1))*100+MOD(3-5,7)</f>
        <v>1405</v>
      </c>
      <c r="AL80" s="19" t="n">
        <f aca="false">SUMPRODUCT((MOD(AO$1:AU$1-4,7)&lt;Inputs!$B$6)*AO$2:AU$2*(AO79:AU79+1))*100+MOD(4-5,7)</f>
        <v>1406</v>
      </c>
      <c r="AM80" s="19" t="n">
        <f aca="false">SUMPRODUCT((MOD(AO$1:AU$1-5,7)&lt;Inputs!$B$6)*AO$2:AU$2*(AO79:AU79+1))*100+MOD(5-5,7)</f>
        <v>1800</v>
      </c>
      <c r="AN80" s="19" t="n">
        <f aca="false">SUMPRODUCT((MOD(AO$1:AU$1-6,7)&lt;Inputs!$B$6)*AO$2:AU$2*(AO79:AU79+1))*100+MOD(6-5,7)</f>
        <v>1801</v>
      </c>
      <c r="AO80" s="19" t="n">
        <f aca="false">AO79+IF($B80=1,IF(MOD(0-$D80,7)&lt;Inputs!$B$6,1,0),0)</f>
        <v>3</v>
      </c>
      <c r="AP80" s="19" t="n">
        <f aca="false">AP79+IF($B80=1,IF(MOD(1-$D80,7)&lt;Inputs!$B$6,1,0),0)</f>
        <v>3</v>
      </c>
      <c r="AQ80" s="19" t="n">
        <f aca="false">AQ79+IF($B80=1,IF(MOD(2-$D80,7)&lt;Inputs!$B$6,1,0),0)</f>
        <v>2</v>
      </c>
      <c r="AR80" s="19" t="n">
        <f aca="false">AR79+IF($B80=1,IF(MOD(3-$D80,7)&lt;Inputs!$B$6,1,0),0)</f>
        <v>3</v>
      </c>
      <c r="AS80" s="19" t="n">
        <f aca="false">AS79+IF($B80=1,IF(MOD(4-$D80,7)&lt;Inputs!$B$6,1,0),0)</f>
        <v>2</v>
      </c>
      <c r="AT80" s="19" t="n">
        <f aca="false">AT79+IF($B80=1,IF(MOD(5-$D80,7)&lt;Inputs!$B$6,1,0),0)</f>
        <v>3</v>
      </c>
      <c r="AU80" s="19" t="n">
        <f aca="false">AU79+IF($B80=1,IF(MOD(6-$D80,7)&lt;Inputs!$B$6,1,0),0)</f>
        <v>4</v>
      </c>
    </row>
    <row r="81" customFormat="false" ht="15" hidden="false" customHeight="false" outlineLevel="0" collapsed="false">
      <c r="A81" s="0" t="n">
        <v>76</v>
      </c>
      <c r="B81" s="0" t="n">
        <f aca="false">IF(A81&lt;=Inputs!$B$3,1,0)</f>
        <v>0</v>
      </c>
      <c r="C81" s="0" t="n">
        <f aca="false">MOD(5+MOD(A81-1,7),7)</f>
        <v>3</v>
      </c>
      <c r="D81" s="0" t="n">
        <f aca="false">IF(Inputs!C98&lt;&gt;"",MATCH(Inputs!C98,Inputs!$A$11:$A$17,0)-1,IF(B81=0,0,MATCH(MIN(AH81:AN81),AH81:AN81,0)-1))</f>
        <v>0</v>
      </c>
      <c r="F81" s="0" t="n">
        <f aca="false">IF(OR($B81=0,F$3=0),0,IF(MOD(0-$D81,7)&lt;Inputs!$B$6,0,1))</f>
        <v>0</v>
      </c>
      <c r="G81" s="0" t="n">
        <f aca="false">IF(OR($B81=0,G$3=0),0,IF(MOD(1-$D81,7)&lt;Inputs!$B$6,0,1))</f>
        <v>0</v>
      </c>
      <c r="H81" s="0" t="n">
        <f aca="false">IF(OR($B81=0,H$3=0),0,IF(MOD(2-$D81,7)&lt;Inputs!$B$6,0,1))</f>
        <v>0</v>
      </c>
      <c r="I81" s="0" t="n">
        <f aca="false">IF(OR($B81=0,I$3=0),0,IF(MOD(3-$D81,7)&lt;Inputs!$B$6,0,1))</f>
        <v>0</v>
      </c>
      <c r="J81" s="0" t="n">
        <f aca="false">IF(OR($B81=0,J$3=0),0,IF(MOD(4-$D81,7)&lt;Inputs!$B$6,0,1))</f>
        <v>0</v>
      </c>
      <c r="K81" s="0" t="n">
        <f aca="false">IF(OR($B81=0,K$3=0),0,IF(MOD(5-$D81,7)&lt;Inputs!$B$6,0,1))</f>
        <v>0</v>
      </c>
      <c r="L81" s="0" t="n">
        <f aca="false">IF(OR($B81=0,L$3=0),0,IF(MOD(6-$D81,7)&lt;Inputs!$B$6,0,1))</f>
        <v>0</v>
      </c>
      <c r="M81" s="0" t="n">
        <f aca="false">SUM(F$6:F81)</f>
        <v>7</v>
      </c>
      <c r="N81" s="0" t="n">
        <f aca="false">SUM(G$6:G81)</f>
        <v>7</v>
      </c>
      <c r="O81" s="0" t="n">
        <f aca="false">SUM(H$6:H81)</f>
        <v>8</v>
      </c>
      <c r="P81" s="0" t="n">
        <f aca="false">SUM(I$6:I81)</f>
        <v>7</v>
      </c>
      <c r="Q81" s="0" t="n">
        <f aca="false">SUM(J$6:J81)</f>
        <v>8</v>
      </c>
      <c r="R81" s="0" t="n">
        <f aca="false">SUM(K$6:K81)</f>
        <v>7</v>
      </c>
      <c r="S81" s="0" t="n">
        <f aca="false">SUM(L$6:L81)</f>
        <v>6</v>
      </c>
      <c r="T81" s="18" t="n">
        <f aca="false">IF(F81=0,0,IF(Inputs!$D98="Open",F$1,IF(Inputs!$D98="Close",ROUND(F$2*1440-F$3*60,0)/1440,IF(OR(INT((M81-1)/Inputs!$B$7)=0,(INT((M$3-1-MOD(M81-1,Inputs!$B$7))/Inputs!$B$7)+1)&lt;=1),F$1,IF(INT((M81-1)/Inputs!$B$7)&gt;=(INT((M$3-1-MOD(M81-1,Inputs!$B$7))/Inputs!$B$7)+1)-1,ROUND(F$2*1440-F$3*60,0)/1440,MAX(F$1,MIN(ROUND(F$2*1440-F$3*60,0)/1440,ROUND((F$1+INT((M81-1)/Inputs!$B$7)/((INT((M$3-1-MOD(M81-1,Inputs!$B$7))/Inputs!$B$7)+1)-1)*((ROUND(F$2*1440-F$3*60,0)/1440)-F$1))*96,0)/96)))))))</f>
        <v>0</v>
      </c>
      <c r="U81" s="18" t="n">
        <f aca="false">IF(G81=0,0,IF(Inputs!$D98="Open",G$1,IF(Inputs!$D98="Close",ROUND(G$2*1440-G$3*60,0)/1440,IF(OR(INT((N81-1)/Inputs!$B$7)=0,(INT((N$3-1-MOD(N81-1,Inputs!$B$7))/Inputs!$B$7)+1)&lt;=1),G$1,IF(INT((N81-1)/Inputs!$B$7)&gt;=(INT((N$3-1-MOD(N81-1,Inputs!$B$7))/Inputs!$B$7)+1)-1,ROUND(G$2*1440-G$3*60,0)/1440,MAX(G$1,MIN(ROUND(G$2*1440-G$3*60,0)/1440,ROUND((G$1+INT((N81-1)/Inputs!$B$7)/((INT((N$3-1-MOD(N81-1,Inputs!$B$7))/Inputs!$B$7)+1)-1)*((ROUND(G$2*1440-G$3*60,0)/1440)-G$1))*96,0)/96)))))))</f>
        <v>0</v>
      </c>
      <c r="V81" s="18" t="n">
        <f aca="false">IF(H81=0,0,IF(Inputs!$D98="Open",H$1,IF(Inputs!$D98="Close",ROUND(H$2*1440-H$3*60,0)/1440,IF(OR(INT((O81-1)/Inputs!$B$7)=0,(INT((O$3-1-MOD(O81-1,Inputs!$B$7))/Inputs!$B$7)+1)&lt;=1),H$1,IF(INT((O81-1)/Inputs!$B$7)&gt;=(INT((O$3-1-MOD(O81-1,Inputs!$B$7))/Inputs!$B$7)+1)-1,ROUND(H$2*1440-H$3*60,0)/1440,MAX(H$1,MIN(ROUND(H$2*1440-H$3*60,0)/1440,ROUND((H$1+INT((O81-1)/Inputs!$B$7)/((INT((O$3-1-MOD(O81-1,Inputs!$B$7))/Inputs!$B$7)+1)-1)*((ROUND(H$2*1440-H$3*60,0)/1440)-H$1))*96,0)/96)))))))</f>
        <v>0</v>
      </c>
      <c r="W81" s="18" t="n">
        <f aca="false">IF(I81=0,0,IF(Inputs!$D98="Open",I$1,IF(Inputs!$D98="Close",ROUND(I$2*1440-I$3*60,0)/1440,IF(OR(INT((P81-1)/Inputs!$B$7)=0,(INT((P$3-1-MOD(P81-1,Inputs!$B$7))/Inputs!$B$7)+1)&lt;=1),I$1,IF(INT((P81-1)/Inputs!$B$7)&gt;=(INT((P$3-1-MOD(P81-1,Inputs!$B$7))/Inputs!$B$7)+1)-1,ROUND(I$2*1440-I$3*60,0)/1440,MAX(I$1,MIN(ROUND(I$2*1440-I$3*60,0)/1440,ROUND((I$1+INT((P81-1)/Inputs!$B$7)/((INT((P$3-1-MOD(P81-1,Inputs!$B$7))/Inputs!$B$7)+1)-1)*((ROUND(I$2*1440-I$3*60,0)/1440)-I$1))*96,0)/96)))))))</f>
        <v>0</v>
      </c>
      <c r="X81" s="18" t="n">
        <f aca="false">IF(J81=0,0,IF(Inputs!$D98="Open",J$1,IF(Inputs!$D98="Close",ROUND(J$2*1440-J$3*60,0)/1440,IF(OR(INT((Q81-1)/Inputs!$B$7)=0,(INT((Q$3-1-MOD(Q81-1,Inputs!$B$7))/Inputs!$B$7)+1)&lt;=1),J$1,IF(INT((Q81-1)/Inputs!$B$7)&gt;=(INT((Q$3-1-MOD(Q81-1,Inputs!$B$7))/Inputs!$B$7)+1)-1,ROUND(J$2*1440-J$3*60,0)/1440,MAX(J$1,MIN(ROUND(J$2*1440-J$3*60,0)/1440,ROUND((J$1+INT((Q81-1)/Inputs!$B$7)/((INT((Q$3-1-MOD(Q81-1,Inputs!$B$7))/Inputs!$B$7)+1)-1)*((ROUND(J$2*1440-J$3*60,0)/1440)-J$1))*96,0)/96)))))))</f>
        <v>0</v>
      </c>
      <c r="Y81" s="18" t="n">
        <f aca="false">IF(K81=0,0,IF(Inputs!$D98="Open",K$1,IF(Inputs!$D98="Close",ROUND(K$2*1440-K$3*60,0)/1440,IF(OR(INT((R81-1)/Inputs!$B$7)=0,(INT((R$3-1-MOD(R81-1,Inputs!$B$7))/Inputs!$B$7)+1)&lt;=1),K$1,IF(INT((R81-1)/Inputs!$B$7)&gt;=(INT((R$3-1-MOD(R81-1,Inputs!$B$7))/Inputs!$B$7)+1)-1,ROUND(K$2*1440-K$3*60,0)/1440,MAX(K$1,MIN(ROUND(K$2*1440-K$3*60,0)/1440,ROUND((K$1+INT((R81-1)/Inputs!$B$7)/((INT((R$3-1-MOD(R81-1,Inputs!$B$7))/Inputs!$B$7)+1)-1)*((ROUND(K$2*1440-K$3*60,0)/1440)-K$1))*96,0)/96)))))))</f>
        <v>0</v>
      </c>
      <c r="Z81" s="18" t="n">
        <f aca="false">IF(L81=0,0,IF(Inputs!$D98="Open",L$1,IF(Inputs!$D98="Close",ROUND(L$2*1440-L$3*60,0)/1440,IF(OR(INT((S81-1)/Inputs!$B$7)=0,(INT((S$3-1-MOD(S81-1,Inputs!$B$7))/Inputs!$B$7)+1)&lt;=1),L$1,IF(INT((S81-1)/Inputs!$B$7)&gt;=(INT((S$3-1-MOD(S81-1,Inputs!$B$7))/Inputs!$B$7)+1)-1,ROUND(L$2*1440-L$3*60,0)/1440,MAX(L$1,MIN(ROUND(L$2*1440-L$3*60,0)/1440,ROUND((L$1+INT((S81-1)/Inputs!$B$7)/((INT((S$3-1-MOD(S81-1,Inputs!$B$7))/Inputs!$B$7)+1)-1)*((ROUND(L$2*1440-L$3*60,0)/1440)-L$1))*96,0)/96)))))))</f>
        <v>0</v>
      </c>
      <c r="AA81" s="18" t="n">
        <f aca="false">IF(F81=0,0,ROUND(T81*1440+F$3*60,0)/1440)</f>
        <v>0</v>
      </c>
      <c r="AB81" s="18" t="n">
        <f aca="false">IF(G81=0,0,ROUND(U81*1440+G$3*60,0)/1440)</f>
        <v>0</v>
      </c>
      <c r="AC81" s="18" t="n">
        <f aca="false">IF(H81=0,0,ROUND(V81*1440+H$3*60,0)/1440)</f>
        <v>0</v>
      </c>
      <c r="AD81" s="18" t="n">
        <f aca="false">IF(I81=0,0,ROUND(W81*1440+I$3*60,0)/1440)</f>
        <v>0</v>
      </c>
      <c r="AE81" s="18" t="n">
        <f aca="false">IF(J81=0,0,ROUND(X81*1440+J$3*60,0)/1440)</f>
        <v>0</v>
      </c>
      <c r="AF81" s="18" t="n">
        <f aca="false">IF(K81=0,0,ROUND(Y81*1440+K$3*60,0)/1440)</f>
        <v>0</v>
      </c>
      <c r="AG81" s="18" t="n">
        <f aca="false">IF(L81=0,0,ROUND(Z81*1440+L$3*60,0)/1440)</f>
        <v>0</v>
      </c>
      <c r="AH81" s="19" t="n">
        <f aca="false">SUMPRODUCT((MOD(AO$1:AU$1-0,7)&lt;Inputs!$B$6)*AO$2:AU$2*(AO80:AU80+1))*100+MOD(0-5,7)</f>
        <v>1602</v>
      </c>
      <c r="AI81" s="19" t="n">
        <f aca="false">SUMPRODUCT((MOD(AO$1:AU$1-1,7)&lt;Inputs!$B$6)*AO$2:AU$2*(AO80:AU80+1))*100+MOD(1-5,7)</f>
        <v>1403</v>
      </c>
      <c r="AJ81" s="19" t="n">
        <f aca="false">SUMPRODUCT((MOD(AO$1:AU$1-2,7)&lt;Inputs!$B$6)*AO$2:AU$2*(AO80:AU80+1))*100+MOD(2-5,7)</f>
        <v>1404</v>
      </c>
      <c r="AK81" s="19" t="n">
        <f aca="false">SUMPRODUCT((MOD(AO$1:AU$1-3,7)&lt;Inputs!$B$6)*AO$2:AU$2*(AO80:AU80+1))*100+MOD(3-5,7)</f>
        <v>1405</v>
      </c>
      <c r="AL81" s="19" t="n">
        <f aca="false">SUMPRODUCT((MOD(AO$1:AU$1-4,7)&lt;Inputs!$B$6)*AO$2:AU$2*(AO80:AU80+1))*100+MOD(4-5,7)</f>
        <v>1406</v>
      </c>
      <c r="AM81" s="19" t="n">
        <f aca="false">SUMPRODUCT((MOD(AO$1:AU$1-5,7)&lt;Inputs!$B$6)*AO$2:AU$2*(AO80:AU80+1))*100+MOD(5-5,7)</f>
        <v>1800</v>
      </c>
      <c r="AN81" s="19" t="n">
        <f aca="false">SUMPRODUCT((MOD(AO$1:AU$1-6,7)&lt;Inputs!$B$6)*AO$2:AU$2*(AO80:AU80+1))*100+MOD(6-5,7)</f>
        <v>1801</v>
      </c>
      <c r="AO81" s="19" t="n">
        <f aca="false">AO80+IF($B81=1,IF(MOD(0-$D81,7)&lt;Inputs!$B$6,1,0),0)</f>
        <v>3</v>
      </c>
      <c r="AP81" s="19" t="n">
        <f aca="false">AP80+IF($B81=1,IF(MOD(1-$D81,7)&lt;Inputs!$B$6,1,0),0)</f>
        <v>3</v>
      </c>
      <c r="AQ81" s="19" t="n">
        <f aca="false">AQ80+IF($B81=1,IF(MOD(2-$D81,7)&lt;Inputs!$B$6,1,0),0)</f>
        <v>2</v>
      </c>
      <c r="AR81" s="19" t="n">
        <f aca="false">AR80+IF($B81=1,IF(MOD(3-$D81,7)&lt;Inputs!$B$6,1,0),0)</f>
        <v>3</v>
      </c>
      <c r="AS81" s="19" t="n">
        <f aca="false">AS80+IF($B81=1,IF(MOD(4-$D81,7)&lt;Inputs!$B$6,1,0),0)</f>
        <v>2</v>
      </c>
      <c r="AT81" s="19" t="n">
        <f aca="false">AT80+IF($B81=1,IF(MOD(5-$D81,7)&lt;Inputs!$B$6,1,0),0)</f>
        <v>3</v>
      </c>
      <c r="AU81" s="19" t="n">
        <f aca="false">AU80+IF($B81=1,IF(MOD(6-$D81,7)&lt;Inputs!$B$6,1,0),0)</f>
        <v>4</v>
      </c>
    </row>
    <row r="82" customFormat="false" ht="15" hidden="false" customHeight="false" outlineLevel="0" collapsed="false">
      <c r="A82" s="0" t="n">
        <v>77</v>
      </c>
      <c r="B82" s="0" t="n">
        <f aca="false">IF(A82&lt;=Inputs!$B$3,1,0)</f>
        <v>0</v>
      </c>
      <c r="C82" s="0" t="n">
        <f aca="false">MOD(5+MOD(A82-1,7),7)</f>
        <v>4</v>
      </c>
      <c r="D82" s="0" t="n">
        <f aca="false">IF(Inputs!C99&lt;&gt;"",MATCH(Inputs!C99,Inputs!$A$11:$A$17,0)-1,IF(B82=0,0,MATCH(MIN(AH82:AN82),AH82:AN82,0)-1))</f>
        <v>0</v>
      </c>
      <c r="F82" s="0" t="n">
        <f aca="false">IF(OR($B82=0,F$3=0),0,IF(MOD(0-$D82,7)&lt;Inputs!$B$6,0,1))</f>
        <v>0</v>
      </c>
      <c r="G82" s="0" t="n">
        <f aca="false">IF(OR($B82=0,G$3=0),0,IF(MOD(1-$D82,7)&lt;Inputs!$B$6,0,1))</f>
        <v>0</v>
      </c>
      <c r="H82" s="0" t="n">
        <f aca="false">IF(OR($B82=0,H$3=0),0,IF(MOD(2-$D82,7)&lt;Inputs!$B$6,0,1))</f>
        <v>0</v>
      </c>
      <c r="I82" s="0" t="n">
        <f aca="false">IF(OR($B82=0,I$3=0),0,IF(MOD(3-$D82,7)&lt;Inputs!$B$6,0,1))</f>
        <v>0</v>
      </c>
      <c r="J82" s="0" t="n">
        <f aca="false">IF(OR($B82=0,J$3=0),0,IF(MOD(4-$D82,7)&lt;Inputs!$B$6,0,1))</f>
        <v>0</v>
      </c>
      <c r="K82" s="0" t="n">
        <f aca="false">IF(OR($B82=0,K$3=0),0,IF(MOD(5-$D82,7)&lt;Inputs!$B$6,0,1))</f>
        <v>0</v>
      </c>
      <c r="L82" s="0" t="n">
        <f aca="false">IF(OR($B82=0,L$3=0),0,IF(MOD(6-$D82,7)&lt;Inputs!$B$6,0,1))</f>
        <v>0</v>
      </c>
      <c r="M82" s="0" t="n">
        <f aca="false">SUM(F$6:F82)</f>
        <v>7</v>
      </c>
      <c r="N82" s="0" t="n">
        <f aca="false">SUM(G$6:G82)</f>
        <v>7</v>
      </c>
      <c r="O82" s="0" t="n">
        <f aca="false">SUM(H$6:H82)</f>
        <v>8</v>
      </c>
      <c r="P82" s="0" t="n">
        <f aca="false">SUM(I$6:I82)</f>
        <v>7</v>
      </c>
      <c r="Q82" s="0" t="n">
        <f aca="false">SUM(J$6:J82)</f>
        <v>8</v>
      </c>
      <c r="R82" s="0" t="n">
        <f aca="false">SUM(K$6:K82)</f>
        <v>7</v>
      </c>
      <c r="S82" s="0" t="n">
        <f aca="false">SUM(L$6:L82)</f>
        <v>6</v>
      </c>
      <c r="T82" s="18" t="n">
        <f aca="false">IF(F82=0,0,IF(Inputs!$D99="Open",F$1,IF(Inputs!$D99="Close",ROUND(F$2*1440-F$3*60,0)/1440,IF(OR(INT((M82-1)/Inputs!$B$7)=0,(INT((M$3-1-MOD(M82-1,Inputs!$B$7))/Inputs!$B$7)+1)&lt;=1),F$1,IF(INT((M82-1)/Inputs!$B$7)&gt;=(INT((M$3-1-MOD(M82-1,Inputs!$B$7))/Inputs!$B$7)+1)-1,ROUND(F$2*1440-F$3*60,0)/1440,MAX(F$1,MIN(ROUND(F$2*1440-F$3*60,0)/1440,ROUND((F$1+INT((M82-1)/Inputs!$B$7)/((INT((M$3-1-MOD(M82-1,Inputs!$B$7))/Inputs!$B$7)+1)-1)*((ROUND(F$2*1440-F$3*60,0)/1440)-F$1))*96,0)/96)))))))</f>
        <v>0</v>
      </c>
      <c r="U82" s="18" t="n">
        <f aca="false">IF(G82=0,0,IF(Inputs!$D99="Open",G$1,IF(Inputs!$D99="Close",ROUND(G$2*1440-G$3*60,0)/1440,IF(OR(INT((N82-1)/Inputs!$B$7)=0,(INT((N$3-1-MOD(N82-1,Inputs!$B$7))/Inputs!$B$7)+1)&lt;=1),G$1,IF(INT((N82-1)/Inputs!$B$7)&gt;=(INT((N$3-1-MOD(N82-1,Inputs!$B$7))/Inputs!$B$7)+1)-1,ROUND(G$2*1440-G$3*60,0)/1440,MAX(G$1,MIN(ROUND(G$2*1440-G$3*60,0)/1440,ROUND((G$1+INT((N82-1)/Inputs!$B$7)/((INT((N$3-1-MOD(N82-1,Inputs!$B$7))/Inputs!$B$7)+1)-1)*((ROUND(G$2*1440-G$3*60,0)/1440)-G$1))*96,0)/96)))))))</f>
        <v>0</v>
      </c>
      <c r="V82" s="18" t="n">
        <f aca="false">IF(H82=0,0,IF(Inputs!$D99="Open",H$1,IF(Inputs!$D99="Close",ROUND(H$2*1440-H$3*60,0)/1440,IF(OR(INT((O82-1)/Inputs!$B$7)=0,(INT((O$3-1-MOD(O82-1,Inputs!$B$7))/Inputs!$B$7)+1)&lt;=1),H$1,IF(INT((O82-1)/Inputs!$B$7)&gt;=(INT((O$3-1-MOD(O82-1,Inputs!$B$7))/Inputs!$B$7)+1)-1,ROUND(H$2*1440-H$3*60,0)/1440,MAX(H$1,MIN(ROUND(H$2*1440-H$3*60,0)/1440,ROUND((H$1+INT((O82-1)/Inputs!$B$7)/((INT((O$3-1-MOD(O82-1,Inputs!$B$7))/Inputs!$B$7)+1)-1)*((ROUND(H$2*1440-H$3*60,0)/1440)-H$1))*96,0)/96)))))))</f>
        <v>0</v>
      </c>
      <c r="W82" s="18" t="n">
        <f aca="false">IF(I82=0,0,IF(Inputs!$D99="Open",I$1,IF(Inputs!$D99="Close",ROUND(I$2*1440-I$3*60,0)/1440,IF(OR(INT((P82-1)/Inputs!$B$7)=0,(INT((P$3-1-MOD(P82-1,Inputs!$B$7))/Inputs!$B$7)+1)&lt;=1),I$1,IF(INT((P82-1)/Inputs!$B$7)&gt;=(INT((P$3-1-MOD(P82-1,Inputs!$B$7))/Inputs!$B$7)+1)-1,ROUND(I$2*1440-I$3*60,0)/1440,MAX(I$1,MIN(ROUND(I$2*1440-I$3*60,0)/1440,ROUND((I$1+INT((P82-1)/Inputs!$B$7)/((INT((P$3-1-MOD(P82-1,Inputs!$B$7))/Inputs!$B$7)+1)-1)*((ROUND(I$2*1440-I$3*60,0)/1440)-I$1))*96,0)/96)))))))</f>
        <v>0</v>
      </c>
      <c r="X82" s="18" t="n">
        <f aca="false">IF(J82=0,0,IF(Inputs!$D99="Open",J$1,IF(Inputs!$D99="Close",ROUND(J$2*1440-J$3*60,0)/1440,IF(OR(INT((Q82-1)/Inputs!$B$7)=0,(INT((Q$3-1-MOD(Q82-1,Inputs!$B$7))/Inputs!$B$7)+1)&lt;=1),J$1,IF(INT((Q82-1)/Inputs!$B$7)&gt;=(INT((Q$3-1-MOD(Q82-1,Inputs!$B$7))/Inputs!$B$7)+1)-1,ROUND(J$2*1440-J$3*60,0)/1440,MAX(J$1,MIN(ROUND(J$2*1440-J$3*60,0)/1440,ROUND((J$1+INT((Q82-1)/Inputs!$B$7)/((INT((Q$3-1-MOD(Q82-1,Inputs!$B$7))/Inputs!$B$7)+1)-1)*((ROUND(J$2*1440-J$3*60,0)/1440)-J$1))*96,0)/96)))))))</f>
        <v>0</v>
      </c>
      <c r="Y82" s="18" t="n">
        <f aca="false">IF(K82=0,0,IF(Inputs!$D99="Open",K$1,IF(Inputs!$D99="Close",ROUND(K$2*1440-K$3*60,0)/1440,IF(OR(INT((R82-1)/Inputs!$B$7)=0,(INT((R$3-1-MOD(R82-1,Inputs!$B$7))/Inputs!$B$7)+1)&lt;=1),K$1,IF(INT((R82-1)/Inputs!$B$7)&gt;=(INT((R$3-1-MOD(R82-1,Inputs!$B$7))/Inputs!$B$7)+1)-1,ROUND(K$2*1440-K$3*60,0)/1440,MAX(K$1,MIN(ROUND(K$2*1440-K$3*60,0)/1440,ROUND((K$1+INT((R82-1)/Inputs!$B$7)/((INT((R$3-1-MOD(R82-1,Inputs!$B$7))/Inputs!$B$7)+1)-1)*((ROUND(K$2*1440-K$3*60,0)/1440)-K$1))*96,0)/96)))))))</f>
        <v>0</v>
      </c>
      <c r="Z82" s="18" t="n">
        <f aca="false">IF(L82=0,0,IF(Inputs!$D99="Open",L$1,IF(Inputs!$D99="Close",ROUND(L$2*1440-L$3*60,0)/1440,IF(OR(INT((S82-1)/Inputs!$B$7)=0,(INT((S$3-1-MOD(S82-1,Inputs!$B$7))/Inputs!$B$7)+1)&lt;=1),L$1,IF(INT((S82-1)/Inputs!$B$7)&gt;=(INT((S$3-1-MOD(S82-1,Inputs!$B$7))/Inputs!$B$7)+1)-1,ROUND(L$2*1440-L$3*60,0)/1440,MAX(L$1,MIN(ROUND(L$2*1440-L$3*60,0)/1440,ROUND((L$1+INT((S82-1)/Inputs!$B$7)/((INT((S$3-1-MOD(S82-1,Inputs!$B$7))/Inputs!$B$7)+1)-1)*((ROUND(L$2*1440-L$3*60,0)/1440)-L$1))*96,0)/96)))))))</f>
        <v>0</v>
      </c>
      <c r="AA82" s="18" t="n">
        <f aca="false">IF(F82=0,0,ROUND(T82*1440+F$3*60,0)/1440)</f>
        <v>0</v>
      </c>
      <c r="AB82" s="18" t="n">
        <f aca="false">IF(G82=0,0,ROUND(U82*1440+G$3*60,0)/1440)</f>
        <v>0</v>
      </c>
      <c r="AC82" s="18" t="n">
        <f aca="false">IF(H82=0,0,ROUND(V82*1440+H$3*60,0)/1440)</f>
        <v>0</v>
      </c>
      <c r="AD82" s="18" t="n">
        <f aca="false">IF(I82=0,0,ROUND(W82*1440+I$3*60,0)/1440)</f>
        <v>0</v>
      </c>
      <c r="AE82" s="18" t="n">
        <f aca="false">IF(J82=0,0,ROUND(X82*1440+J$3*60,0)/1440)</f>
        <v>0</v>
      </c>
      <c r="AF82" s="18" t="n">
        <f aca="false">IF(K82=0,0,ROUND(Y82*1440+K$3*60,0)/1440)</f>
        <v>0</v>
      </c>
      <c r="AG82" s="18" t="n">
        <f aca="false">IF(L82=0,0,ROUND(Z82*1440+L$3*60,0)/1440)</f>
        <v>0</v>
      </c>
      <c r="AH82" s="19" t="n">
        <f aca="false">SUMPRODUCT((MOD(AO$1:AU$1-0,7)&lt;Inputs!$B$6)*AO$2:AU$2*(AO81:AU81+1))*100+MOD(0-5,7)</f>
        <v>1602</v>
      </c>
      <c r="AI82" s="19" t="n">
        <f aca="false">SUMPRODUCT((MOD(AO$1:AU$1-1,7)&lt;Inputs!$B$6)*AO$2:AU$2*(AO81:AU81+1))*100+MOD(1-5,7)</f>
        <v>1403</v>
      </c>
      <c r="AJ82" s="19" t="n">
        <f aca="false">SUMPRODUCT((MOD(AO$1:AU$1-2,7)&lt;Inputs!$B$6)*AO$2:AU$2*(AO81:AU81+1))*100+MOD(2-5,7)</f>
        <v>1404</v>
      </c>
      <c r="AK82" s="19" t="n">
        <f aca="false">SUMPRODUCT((MOD(AO$1:AU$1-3,7)&lt;Inputs!$B$6)*AO$2:AU$2*(AO81:AU81+1))*100+MOD(3-5,7)</f>
        <v>1405</v>
      </c>
      <c r="AL82" s="19" t="n">
        <f aca="false">SUMPRODUCT((MOD(AO$1:AU$1-4,7)&lt;Inputs!$B$6)*AO$2:AU$2*(AO81:AU81+1))*100+MOD(4-5,7)</f>
        <v>1406</v>
      </c>
      <c r="AM82" s="19" t="n">
        <f aca="false">SUMPRODUCT((MOD(AO$1:AU$1-5,7)&lt;Inputs!$B$6)*AO$2:AU$2*(AO81:AU81+1))*100+MOD(5-5,7)</f>
        <v>1800</v>
      </c>
      <c r="AN82" s="19" t="n">
        <f aca="false">SUMPRODUCT((MOD(AO$1:AU$1-6,7)&lt;Inputs!$B$6)*AO$2:AU$2*(AO81:AU81+1))*100+MOD(6-5,7)</f>
        <v>1801</v>
      </c>
      <c r="AO82" s="19" t="n">
        <f aca="false">AO81+IF($B82=1,IF(MOD(0-$D82,7)&lt;Inputs!$B$6,1,0),0)</f>
        <v>3</v>
      </c>
      <c r="AP82" s="19" t="n">
        <f aca="false">AP81+IF($B82=1,IF(MOD(1-$D82,7)&lt;Inputs!$B$6,1,0),0)</f>
        <v>3</v>
      </c>
      <c r="AQ82" s="19" t="n">
        <f aca="false">AQ81+IF($B82=1,IF(MOD(2-$D82,7)&lt;Inputs!$B$6,1,0),0)</f>
        <v>2</v>
      </c>
      <c r="AR82" s="19" t="n">
        <f aca="false">AR81+IF($B82=1,IF(MOD(3-$D82,7)&lt;Inputs!$B$6,1,0),0)</f>
        <v>3</v>
      </c>
      <c r="AS82" s="19" t="n">
        <f aca="false">AS81+IF($B82=1,IF(MOD(4-$D82,7)&lt;Inputs!$B$6,1,0),0)</f>
        <v>2</v>
      </c>
      <c r="AT82" s="19" t="n">
        <f aca="false">AT81+IF($B82=1,IF(MOD(5-$D82,7)&lt;Inputs!$B$6,1,0),0)</f>
        <v>3</v>
      </c>
      <c r="AU82" s="19" t="n">
        <f aca="false">AU81+IF($B82=1,IF(MOD(6-$D82,7)&lt;Inputs!$B$6,1,0),0)</f>
        <v>4</v>
      </c>
    </row>
    <row r="83" customFormat="false" ht="15" hidden="false" customHeight="false" outlineLevel="0" collapsed="false">
      <c r="A83" s="0" t="n">
        <v>78</v>
      </c>
      <c r="B83" s="0" t="n">
        <f aca="false">IF(A83&lt;=Inputs!$B$3,1,0)</f>
        <v>0</v>
      </c>
      <c r="C83" s="0" t="n">
        <f aca="false">MOD(5+MOD(A83-1,7),7)</f>
        <v>5</v>
      </c>
      <c r="D83" s="0" t="n">
        <f aca="false">IF(Inputs!C100&lt;&gt;"",MATCH(Inputs!C100,Inputs!$A$11:$A$17,0)-1,IF(B83=0,0,MATCH(MIN(AH83:AN83),AH83:AN83,0)-1))</f>
        <v>0</v>
      </c>
      <c r="F83" s="0" t="n">
        <f aca="false">IF(OR($B83=0,F$3=0),0,IF(MOD(0-$D83,7)&lt;Inputs!$B$6,0,1))</f>
        <v>0</v>
      </c>
      <c r="G83" s="0" t="n">
        <f aca="false">IF(OR($B83=0,G$3=0),0,IF(MOD(1-$D83,7)&lt;Inputs!$B$6,0,1))</f>
        <v>0</v>
      </c>
      <c r="H83" s="0" t="n">
        <f aca="false">IF(OR($B83=0,H$3=0),0,IF(MOD(2-$D83,7)&lt;Inputs!$B$6,0,1))</f>
        <v>0</v>
      </c>
      <c r="I83" s="0" t="n">
        <f aca="false">IF(OR($B83=0,I$3=0),0,IF(MOD(3-$D83,7)&lt;Inputs!$B$6,0,1))</f>
        <v>0</v>
      </c>
      <c r="J83" s="0" t="n">
        <f aca="false">IF(OR($B83=0,J$3=0),0,IF(MOD(4-$D83,7)&lt;Inputs!$B$6,0,1))</f>
        <v>0</v>
      </c>
      <c r="K83" s="0" t="n">
        <f aca="false">IF(OR($B83=0,K$3=0),0,IF(MOD(5-$D83,7)&lt;Inputs!$B$6,0,1))</f>
        <v>0</v>
      </c>
      <c r="L83" s="0" t="n">
        <f aca="false">IF(OR($B83=0,L$3=0),0,IF(MOD(6-$D83,7)&lt;Inputs!$B$6,0,1))</f>
        <v>0</v>
      </c>
      <c r="M83" s="0" t="n">
        <f aca="false">SUM(F$6:F83)</f>
        <v>7</v>
      </c>
      <c r="N83" s="0" t="n">
        <f aca="false">SUM(G$6:G83)</f>
        <v>7</v>
      </c>
      <c r="O83" s="0" t="n">
        <f aca="false">SUM(H$6:H83)</f>
        <v>8</v>
      </c>
      <c r="P83" s="0" t="n">
        <f aca="false">SUM(I$6:I83)</f>
        <v>7</v>
      </c>
      <c r="Q83" s="0" t="n">
        <f aca="false">SUM(J$6:J83)</f>
        <v>8</v>
      </c>
      <c r="R83" s="0" t="n">
        <f aca="false">SUM(K$6:K83)</f>
        <v>7</v>
      </c>
      <c r="S83" s="0" t="n">
        <f aca="false">SUM(L$6:L83)</f>
        <v>6</v>
      </c>
      <c r="T83" s="18" t="n">
        <f aca="false">IF(F83=0,0,IF(Inputs!$D100="Open",F$1,IF(Inputs!$D100="Close",ROUND(F$2*1440-F$3*60,0)/1440,IF(OR(INT((M83-1)/Inputs!$B$7)=0,(INT((M$3-1-MOD(M83-1,Inputs!$B$7))/Inputs!$B$7)+1)&lt;=1),F$1,IF(INT((M83-1)/Inputs!$B$7)&gt;=(INT((M$3-1-MOD(M83-1,Inputs!$B$7))/Inputs!$B$7)+1)-1,ROUND(F$2*1440-F$3*60,0)/1440,MAX(F$1,MIN(ROUND(F$2*1440-F$3*60,0)/1440,ROUND((F$1+INT((M83-1)/Inputs!$B$7)/((INT((M$3-1-MOD(M83-1,Inputs!$B$7))/Inputs!$B$7)+1)-1)*((ROUND(F$2*1440-F$3*60,0)/1440)-F$1))*96,0)/96)))))))</f>
        <v>0</v>
      </c>
      <c r="U83" s="18" t="n">
        <f aca="false">IF(G83=0,0,IF(Inputs!$D100="Open",G$1,IF(Inputs!$D100="Close",ROUND(G$2*1440-G$3*60,0)/1440,IF(OR(INT((N83-1)/Inputs!$B$7)=0,(INT((N$3-1-MOD(N83-1,Inputs!$B$7))/Inputs!$B$7)+1)&lt;=1),G$1,IF(INT((N83-1)/Inputs!$B$7)&gt;=(INT((N$3-1-MOD(N83-1,Inputs!$B$7))/Inputs!$B$7)+1)-1,ROUND(G$2*1440-G$3*60,0)/1440,MAX(G$1,MIN(ROUND(G$2*1440-G$3*60,0)/1440,ROUND((G$1+INT((N83-1)/Inputs!$B$7)/((INT((N$3-1-MOD(N83-1,Inputs!$B$7))/Inputs!$B$7)+1)-1)*((ROUND(G$2*1440-G$3*60,0)/1440)-G$1))*96,0)/96)))))))</f>
        <v>0</v>
      </c>
      <c r="V83" s="18" t="n">
        <f aca="false">IF(H83=0,0,IF(Inputs!$D100="Open",H$1,IF(Inputs!$D100="Close",ROUND(H$2*1440-H$3*60,0)/1440,IF(OR(INT((O83-1)/Inputs!$B$7)=0,(INT((O$3-1-MOD(O83-1,Inputs!$B$7))/Inputs!$B$7)+1)&lt;=1),H$1,IF(INT((O83-1)/Inputs!$B$7)&gt;=(INT((O$3-1-MOD(O83-1,Inputs!$B$7))/Inputs!$B$7)+1)-1,ROUND(H$2*1440-H$3*60,0)/1440,MAX(H$1,MIN(ROUND(H$2*1440-H$3*60,0)/1440,ROUND((H$1+INT((O83-1)/Inputs!$B$7)/((INT((O$3-1-MOD(O83-1,Inputs!$B$7))/Inputs!$B$7)+1)-1)*((ROUND(H$2*1440-H$3*60,0)/1440)-H$1))*96,0)/96)))))))</f>
        <v>0</v>
      </c>
      <c r="W83" s="18" t="n">
        <f aca="false">IF(I83=0,0,IF(Inputs!$D100="Open",I$1,IF(Inputs!$D100="Close",ROUND(I$2*1440-I$3*60,0)/1440,IF(OR(INT((P83-1)/Inputs!$B$7)=0,(INT((P$3-1-MOD(P83-1,Inputs!$B$7))/Inputs!$B$7)+1)&lt;=1),I$1,IF(INT((P83-1)/Inputs!$B$7)&gt;=(INT((P$3-1-MOD(P83-1,Inputs!$B$7))/Inputs!$B$7)+1)-1,ROUND(I$2*1440-I$3*60,0)/1440,MAX(I$1,MIN(ROUND(I$2*1440-I$3*60,0)/1440,ROUND((I$1+INT((P83-1)/Inputs!$B$7)/((INT((P$3-1-MOD(P83-1,Inputs!$B$7))/Inputs!$B$7)+1)-1)*((ROUND(I$2*1440-I$3*60,0)/1440)-I$1))*96,0)/96)))))))</f>
        <v>0</v>
      </c>
      <c r="X83" s="18" t="n">
        <f aca="false">IF(J83=0,0,IF(Inputs!$D100="Open",J$1,IF(Inputs!$D100="Close",ROUND(J$2*1440-J$3*60,0)/1440,IF(OR(INT((Q83-1)/Inputs!$B$7)=0,(INT((Q$3-1-MOD(Q83-1,Inputs!$B$7))/Inputs!$B$7)+1)&lt;=1),J$1,IF(INT((Q83-1)/Inputs!$B$7)&gt;=(INT((Q$3-1-MOD(Q83-1,Inputs!$B$7))/Inputs!$B$7)+1)-1,ROUND(J$2*1440-J$3*60,0)/1440,MAX(J$1,MIN(ROUND(J$2*1440-J$3*60,0)/1440,ROUND((J$1+INT((Q83-1)/Inputs!$B$7)/((INT((Q$3-1-MOD(Q83-1,Inputs!$B$7))/Inputs!$B$7)+1)-1)*((ROUND(J$2*1440-J$3*60,0)/1440)-J$1))*96,0)/96)))))))</f>
        <v>0</v>
      </c>
      <c r="Y83" s="18" t="n">
        <f aca="false">IF(K83=0,0,IF(Inputs!$D100="Open",K$1,IF(Inputs!$D100="Close",ROUND(K$2*1440-K$3*60,0)/1440,IF(OR(INT((R83-1)/Inputs!$B$7)=0,(INT((R$3-1-MOD(R83-1,Inputs!$B$7))/Inputs!$B$7)+1)&lt;=1),K$1,IF(INT((R83-1)/Inputs!$B$7)&gt;=(INT((R$3-1-MOD(R83-1,Inputs!$B$7))/Inputs!$B$7)+1)-1,ROUND(K$2*1440-K$3*60,0)/1440,MAX(K$1,MIN(ROUND(K$2*1440-K$3*60,0)/1440,ROUND((K$1+INT((R83-1)/Inputs!$B$7)/((INT((R$3-1-MOD(R83-1,Inputs!$B$7))/Inputs!$B$7)+1)-1)*((ROUND(K$2*1440-K$3*60,0)/1440)-K$1))*96,0)/96)))))))</f>
        <v>0</v>
      </c>
      <c r="Z83" s="18" t="n">
        <f aca="false">IF(L83=0,0,IF(Inputs!$D100="Open",L$1,IF(Inputs!$D100="Close",ROUND(L$2*1440-L$3*60,0)/1440,IF(OR(INT((S83-1)/Inputs!$B$7)=0,(INT((S$3-1-MOD(S83-1,Inputs!$B$7))/Inputs!$B$7)+1)&lt;=1),L$1,IF(INT((S83-1)/Inputs!$B$7)&gt;=(INT((S$3-1-MOD(S83-1,Inputs!$B$7))/Inputs!$B$7)+1)-1,ROUND(L$2*1440-L$3*60,0)/1440,MAX(L$1,MIN(ROUND(L$2*1440-L$3*60,0)/1440,ROUND((L$1+INT((S83-1)/Inputs!$B$7)/((INT((S$3-1-MOD(S83-1,Inputs!$B$7))/Inputs!$B$7)+1)-1)*((ROUND(L$2*1440-L$3*60,0)/1440)-L$1))*96,0)/96)))))))</f>
        <v>0</v>
      </c>
      <c r="AA83" s="18" t="n">
        <f aca="false">IF(F83=0,0,ROUND(T83*1440+F$3*60,0)/1440)</f>
        <v>0</v>
      </c>
      <c r="AB83" s="18" t="n">
        <f aca="false">IF(G83=0,0,ROUND(U83*1440+G$3*60,0)/1440)</f>
        <v>0</v>
      </c>
      <c r="AC83" s="18" t="n">
        <f aca="false">IF(H83=0,0,ROUND(V83*1440+H$3*60,0)/1440)</f>
        <v>0</v>
      </c>
      <c r="AD83" s="18" t="n">
        <f aca="false">IF(I83=0,0,ROUND(W83*1440+I$3*60,0)/1440)</f>
        <v>0</v>
      </c>
      <c r="AE83" s="18" t="n">
        <f aca="false">IF(J83=0,0,ROUND(X83*1440+J$3*60,0)/1440)</f>
        <v>0</v>
      </c>
      <c r="AF83" s="18" t="n">
        <f aca="false">IF(K83=0,0,ROUND(Y83*1440+K$3*60,0)/1440)</f>
        <v>0</v>
      </c>
      <c r="AG83" s="18" t="n">
        <f aca="false">IF(L83=0,0,ROUND(Z83*1440+L$3*60,0)/1440)</f>
        <v>0</v>
      </c>
      <c r="AH83" s="19" t="n">
        <f aca="false">SUMPRODUCT((MOD(AO$1:AU$1-0,7)&lt;Inputs!$B$6)*AO$2:AU$2*(AO82:AU82+1))*100+MOD(0-5,7)</f>
        <v>1602</v>
      </c>
      <c r="AI83" s="19" t="n">
        <f aca="false">SUMPRODUCT((MOD(AO$1:AU$1-1,7)&lt;Inputs!$B$6)*AO$2:AU$2*(AO82:AU82+1))*100+MOD(1-5,7)</f>
        <v>1403</v>
      </c>
      <c r="AJ83" s="19" t="n">
        <f aca="false">SUMPRODUCT((MOD(AO$1:AU$1-2,7)&lt;Inputs!$B$6)*AO$2:AU$2*(AO82:AU82+1))*100+MOD(2-5,7)</f>
        <v>1404</v>
      </c>
      <c r="AK83" s="19" t="n">
        <f aca="false">SUMPRODUCT((MOD(AO$1:AU$1-3,7)&lt;Inputs!$B$6)*AO$2:AU$2*(AO82:AU82+1))*100+MOD(3-5,7)</f>
        <v>1405</v>
      </c>
      <c r="AL83" s="19" t="n">
        <f aca="false">SUMPRODUCT((MOD(AO$1:AU$1-4,7)&lt;Inputs!$B$6)*AO$2:AU$2*(AO82:AU82+1))*100+MOD(4-5,7)</f>
        <v>1406</v>
      </c>
      <c r="AM83" s="19" t="n">
        <f aca="false">SUMPRODUCT((MOD(AO$1:AU$1-5,7)&lt;Inputs!$B$6)*AO$2:AU$2*(AO82:AU82+1))*100+MOD(5-5,7)</f>
        <v>1800</v>
      </c>
      <c r="AN83" s="19" t="n">
        <f aca="false">SUMPRODUCT((MOD(AO$1:AU$1-6,7)&lt;Inputs!$B$6)*AO$2:AU$2*(AO82:AU82+1))*100+MOD(6-5,7)</f>
        <v>1801</v>
      </c>
      <c r="AO83" s="19" t="n">
        <f aca="false">AO82+IF($B83=1,IF(MOD(0-$D83,7)&lt;Inputs!$B$6,1,0),0)</f>
        <v>3</v>
      </c>
      <c r="AP83" s="19" t="n">
        <f aca="false">AP82+IF($B83=1,IF(MOD(1-$D83,7)&lt;Inputs!$B$6,1,0),0)</f>
        <v>3</v>
      </c>
      <c r="AQ83" s="19" t="n">
        <f aca="false">AQ82+IF($B83=1,IF(MOD(2-$D83,7)&lt;Inputs!$B$6,1,0),0)</f>
        <v>2</v>
      </c>
      <c r="AR83" s="19" t="n">
        <f aca="false">AR82+IF($B83=1,IF(MOD(3-$D83,7)&lt;Inputs!$B$6,1,0),0)</f>
        <v>3</v>
      </c>
      <c r="AS83" s="19" t="n">
        <f aca="false">AS82+IF($B83=1,IF(MOD(4-$D83,7)&lt;Inputs!$B$6,1,0),0)</f>
        <v>2</v>
      </c>
      <c r="AT83" s="19" t="n">
        <f aca="false">AT82+IF($B83=1,IF(MOD(5-$D83,7)&lt;Inputs!$B$6,1,0),0)</f>
        <v>3</v>
      </c>
      <c r="AU83" s="19" t="n">
        <f aca="false">AU82+IF($B83=1,IF(MOD(6-$D83,7)&lt;Inputs!$B$6,1,0),0)</f>
        <v>4</v>
      </c>
    </row>
    <row r="84" customFormat="false" ht="15" hidden="false" customHeight="false" outlineLevel="0" collapsed="false">
      <c r="A84" s="0" t="n">
        <v>79</v>
      </c>
      <c r="B84" s="0" t="n">
        <f aca="false">IF(A84&lt;=Inputs!$B$3,1,0)</f>
        <v>0</v>
      </c>
      <c r="C84" s="0" t="n">
        <f aca="false">MOD(5+MOD(A84-1,7),7)</f>
        <v>6</v>
      </c>
      <c r="D84" s="0" t="n">
        <f aca="false">IF(Inputs!C101&lt;&gt;"",MATCH(Inputs!C101,Inputs!$A$11:$A$17,0)-1,IF(B84=0,0,MATCH(MIN(AH84:AN84),AH84:AN84,0)-1))</f>
        <v>0</v>
      </c>
      <c r="F84" s="0" t="n">
        <f aca="false">IF(OR($B84=0,F$3=0),0,IF(MOD(0-$D84,7)&lt;Inputs!$B$6,0,1))</f>
        <v>0</v>
      </c>
      <c r="G84" s="0" t="n">
        <f aca="false">IF(OR($B84=0,G$3=0),0,IF(MOD(1-$D84,7)&lt;Inputs!$B$6,0,1))</f>
        <v>0</v>
      </c>
      <c r="H84" s="0" t="n">
        <f aca="false">IF(OR($B84=0,H$3=0),0,IF(MOD(2-$D84,7)&lt;Inputs!$B$6,0,1))</f>
        <v>0</v>
      </c>
      <c r="I84" s="0" t="n">
        <f aca="false">IF(OR($B84=0,I$3=0),0,IF(MOD(3-$D84,7)&lt;Inputs!$B$6,0,1))</f>
        <v>0</v>
      </c>
      <c r="J84" s="0" t="n">
        <f aca="false">IF(OR($B84=0,J$3=0),0,IF(MOD(4-$D84,7)&lt;Inputs!$B$6,0,1))</f>
        <v>0</v>
      </c>
      <c r="K84" s="0" t="n">
        <f aca="false">IF(OR($B84=0,K$3=0),0,IF(MOD(5-$D84,7)&lt;Inputs!$B$6,0,1))</f>
        <v>0</v>
      </c>
      <c r="L84" s="0" t="n">
        <f aca="false">IF(OR($B84=0,L$3=0),0,IF(MOD(6-$D84,7)&lt;Inputs!$B$6,0,1))</f>
        <v>0</v>
      </c>
      <c r="M84" s="0" t="n">
        <f aca="false">SUM(F$6:F84)</f>
        <v>7</v>
      </c>
      <c r="N84" s="0" t="n">
        <f aca="false">SUM(G$6:G84)</f>
        <v>7</v>
      </c>
      <c r="O84" s="0" t="n">
        <f aca="false">SUM(H$6:H84)</f>
        <v>8</v>
      </c>
      <c r="P84" s="0" t="n">
        <f aca="false">SUM(I$6:I84)</f>
        <v>7</v>
      </c>
      <c r="Q84" s="0" t="n">
        <f aca="false">SUM(J$6:J84)</f>
        <v>8</v>
      </c>
      <c r="R84" s="0" t="n">
        <f aca="false">SUM(K$6:K84)</f>
        <v>7</v>
      </c>
      <c r="S84" s="0" t="n">
        <f aca="false">SUM(L$6:L84)</f>
        <v>6</v>
      </c>
      <c r="T84" s="18" t="n">
        <f aca="false">IF(F84=0,0,IF(Inputs!$D101="Open",F$1,IF(Inputs!$D101="Close",ROUND(F$2*1440-F$3*60,0)/1440,IF(OR(INT((M84-1)/Inputs!$B$7)=0,(INT((M$3-1-MOD(M84-1,Inputs!$B$7))/Inputs!$B$7)+1)&lt;=1),F$1,IF(INT((M84-1)/Inputs!$B$7)&gt;=(INT((M$3-1-MOD(M84-1,Inputs!$B$7))/Inputs!$B$7)+1)-1,ROUND(F$2*1440-F$3*60,0)/1440,MAX(F$1,MIN(ROUND(F$2*1440-F$3*60,0)/1440,ROUND((F$1+INT((M84-1)/Inputs!$B$7)/((INT((M$3-1-MOD(M84-1,Inputs!$B$7))/Inputs!$B$7)+1)-1)*((ROUND(F$2*1440-F$3*60,0)/1440)-F$1))*96,0)/96)))))))</f>
        <v>0</v>
      </c>
      <c r="U84" s="18" t="n">
        <f aca="false">IF(G84=0,0,IF(Inputs!$D101="Open",G$1,IF(Inputs!$D101="Close",ROUND(G$2*1440-G$3*60,0)/1440,IF(OR(INT((N84-1)/Inputs!$B$7)=0,(INT((N$3-1-MOD(N84-1,Inputs!$B$7))/Inputs!$B$7)+1)&lt;=1),G$1,IF(INT((N84-1)/Inputs!$B$7)&gt;=(INT((N$3-1-MOD(N84-1,Inputs!$B$7))/Inputs!$B$7)+1)-1,ROUND(G$2*1440-G$3*60,0)/1440,MAX(G$1,MIN(ROUND(G$2*1440-G$3*60,0)/1440,ROUND((G$1+INT((N84-1)/Inputs!$B$7)/((INT((N$3-1-MOD(N84-1,Inputs!$B$7))/Inputs!$B$7)+1)-1)*((ROUND(G$2*1440-G$3*60,0)/1440)-G$1))*96,0)/96)))))))</f>
        <v>0</v>
      </c>
      <c r="V84" s="18" t="n">
        <f aca="false">IF(H84=0,0,IF(Inputs!$D101="Open",H$1,IF(Inputs!$D101="Close",ROUND(H$2*1440-H$3*60,0)/1440,IF(OR(INT((O84-1)/Inputs!$B$7)=0,(INT((O$3-1-MOD(O84-1,Inputs!$B$7))/Inputs!$B$7)+1)&lt;=1),H$1,IF(INT((O84-1)/Inputs!$B$7)&gt;=(INT((O$3-1-MOD(O84-1,Inputs!$B$7))/Inputs!$B$7)+1)-1,ROUND(H$2*1440-H$3*60,0)/1440,MAX(H$1,MIN(ROUND(H$2*1440-H$3*60,0)/1440,ROUND((H$1+INT((O84-1)/Inputs!$B$7)/((INT((O$3-1-MOD(O84-1,Inputs!$B$7))/Inputs!$B$7)+1)-1)*((ROUND(H$2*1440-H$3*60,0)/1440)-H$1))*96,0)/96)))))))</f>
        <v>0</v>
      </c>
      <c r="W84" s="18" t="n">
        <f aca="false">IF(I84=0,0,IF(Inputs!$D101="Open",I$1,IF(Inputs!$D101="Close",ROUND(I$2*1440-I$3*60,0)/1440,IF(OR(INT((P84-1)/Inputs!$B$7)=0,(INT((P$3-1-MOD(P84-1,Inputs!$B$7))/Inputs!$B$7)+1)&lt;=1),I$1,IF(INT((P84-1)/Inputs!$B$7)&gt;=(INT((P$3-1-MOD(P84-1,Inputs!$B$7))/Inputs!$B$7)+1)-1,ROUND(I$2*1440-I$3*60,0)/1440,MAX(I$1,MIN(ROUND(I$2*1440-I$3*60,0)/1440,ROUND((I$1+INT((P84-1)/Inputs!$B$7)/((INT((P$3-1-MOD(P84-1,Inputs!$B$7))/Inputs!$B$7)+1)-1)*((ROUND(I$2*1440-I$3*60,0)/1440)-I$1))*96,0)/96)))))))</f>
        <v>0</v>
      </c>
      <c r="X84" s="18" t="n">
        <f aca="false">IF(J84=0,0,IF(Inputs!$D101="Open",J$1,IF(Inputs!$D101="Close",ROUND(J$2*1440-J$3*60,0)/1440,IF(OR(INT((Q84-1)/Inputs!$B$7)=0,(INT((Q$3-1-MOD(Q84-1,Inputs!$B$7))/Inputs!$B$7)+1)&lt;=1),J$1,IF(INT((Q84-1)/Inputs!$B$7)&gt;=(INT((Q$3-1-MOD(Q84-1,Inputs!$B$7))/Inputs!$B$7)+1)-1,ROUND(J$2*1440-J$3*60,0)/1440,MAX(J$1,MIN(ROUND(J$2*1440-J$3*60,0)/1440,ROUND((J$1+INT((Q84-1)/Inputs!$B$7)/((INT((Q$3-1-MOD(Q84-1,Inputs!$B$7))/Inputs!$B$7)+1)-1)*((ROUND(J$2*1440-J$3*60,0)/1440)-J$1))*96,0)/96)))))))</f>
        <v>0</v>
      </c>
      <c r="Y84" s="18" t="n">
        <f aca="false">IF(K84=0,0,IF(Inputs!$D101="Open",K$1,IF(Inputs!$D101="Close",ROUND(K$2*1440-K$3*60,0)/1440,IF(OR(INT((R84-1)/Inputs!$B$7)=0,(INT((R$3-1-MOD(R84-1,Inputs!$B$7))/Inputs!$B$7)+1)&lt;=1),K$1,IF(INT((R84-1)/Inputs!$B$7)&gt;=(INT((R$3-1-MOD(R84-1,Inputs!$B$7))/Inputs!$B$7)+1)-1,ROUND(K$2*1440-K$3*60,0)/1440,MAX(K$1,MIN(ROUND(K$2*1440-K$3*60,0)/1440,ROUND((K$1+INT((R84-1)/Inputs!$B$7)/((INT((R$3-1-MOD(R84-1,Inputs!$B$7))/Inputs!$B$7)+1)-1)*((ROUND(K$2*1440-K$3*60,0)/1440)-K$1))*96,0)/96)))))))</f>
        <v>0</v>
      </c>
      <c r="Z84" s="18" t="n">
        <f aca="false">IF(L84=0,0,IF(Inputs!$D101="Open",L$1,IF(Inputs!$D101="Close",ROUND(L$2*1440-L$3*60,0)/1440,IF(OR(INT((S84-1)/Inputs!$B$7)=0,(INT((S$3-1-MOD(S84-1,Inputs!$B$7))/Inputs!$B$7)+1)&lt;=1),L$1,IF(INT((S84-1)/Inputs!$B$7)&gt;=(INT((S$3-1-MOD(S84-1,Inputs!$B$7))/Inputs!$B$7)+1)-1,ROUND(L$2*1440-L$3*60,0)/1440,MAX(L$1,MIN(ROUND(L$2*1440-L$3*60,0)/1440,ROUND((L$1+INT((S84-1)/Inputs!$B$7)/((INT((S$3-1-MOD(S84-1,Inputs!$B$7))/Inputs!$B$7)+1)-1)*((ROUND(L$2*1440-L$3*60,0)/1440)-L$1))*96,0)/96)))))))</f>
        <v>0</v>
      </c>
      <c r="AA84" s="18" t="n">
        <f aca="false">IF(F84=0,0,ROUND(T84*1440+F$3*60,0)/1440)</f>
        <v>0</v>
      </c>
      <c r="AB84" s="18" t="n">
        <f aca="false">IF(G84=0,0,ROUND(U84*1440+G$3*60,0)/1440)</f>
        <v>0</v>
      </c>
      <c r="AC84" s="18" t="n">
        <f aca="false">IF(H84=0,0,ROUND(V84*1440+H$3*60,0)/1440)</f>
        <v>0</v>
      </c>
      <c r="AD84" s="18" t="n">
        <f aca="false">IF(I84=0,0,ROUND(W84*1440+I$3*60,0)/1440)</f>
        <v>0</v>
      </c>
      <c r="AE84" s="18" t="n">
        <f aca="false">IF(J84=0,0,ROUND(X84*1440+J$3*60,0)/1440)</f>
        <v>0</v>
      </c>
      <c r="AF84" s="18" t="n">
        <f aca="false">IF(K84=0,0,ROUND(Y84*1440+K$3*60,0)/1440)</f>
        <v>0</v>
      </c>
      <c r="AG84" s="18" t="n">
        <f aca="false">IF(L84=0,0,ROUND(Z84*1440+L$3*60,0)/1440)</f>
        <v>0</v>
      </c>
      <c r="AH84" s="19" t="n">
        <f aca="false">SUMPRODUCT((MOD(AO$1:AU$1-0,7)&lt;Inputs!$B$6)*AO$2:AU$2*(AO83:AU83+1))*100+MOD(0-5,7)</f>
        <v>1602</v>
      </c>
      <c r="AI84" s="19" t="n">
        <f aca="false">SUMPRODUCT((MOD(AO$1:AU$1-1,7)&lt;Inputs!$B$6)*AO$2:AU$2*(AO83:AU83+1))*100+MOD(1-5,7)</f>
        <v>1403</v>
      </c>
      <c r="AJ84" s="19" t="n">
        <f aca="false">SUMPRODUCT((MOD(AO$1:AU$1-2,7)&lt;Inputs!$B$6)*AO$2:AU$2*(AO83:AU83+1))*100+MOD(2-5,7)</f>
        <v>1404</v>
      </c>
      <c r="AK84" s="19" t="n">
        <f aca="false">SUMPRODUCT((MOD(AO$1:AU$1-3,7)&lt;Inputs!$B$6)*AO$2:AU$2*(AO83:AU83+1))*100+MOD(3-5,7)</f>
        <v>1405</v>
      </c>
      <c r="AL84" s="19" t="n">
        <f aca="false">SUMPRODUCT((MOD(AO$1:AU$1-4,7)&lt;Inputs!$B$6)*AO$2:AU$2*(AO83:AU83+1))*100+MOD(4-5,7)</f>
        <v>1406</v>
      </c>
      <c r="AM84" s="19" t="n">
        <f aca="false">SUMPRODUCT((MOD(AO$1:AU$1-5,7)&lt;Inputs!$B$6)*AO$2:AU$2*(AO83:AU83+1))*100+MOD(5-5,7)</f>
        <v>1800</v>
      </c>
      <c r="AN84" s="19" t="n">
        <f aca="false">SUMPRODUCT((MOD(AO$1:AU$1-6,7)&lt;Inputs!$B$6)*AO$2:AU$2*(AO83:AU83+1))*100+MOD(6-5,7)</f>
        <v>1801</v>
      </c>
      <c r="AO84" s="19" t="n">
        <f aca="false">AO83+IF($B84=1,IF(MOD(0-$D84,7)&lt;Inputs!$B$6,1,0),0)</f>
        <v>3</v>
      </c>
      <c r="AP84" s="19" t="n">
        <f aca="false">AP83+IF($B84=1,IF(MOD(1-$D84,7)&lt;Inputs!$B$6,1,0),0)</f>
        <v>3</v>
      </c>
      <c r="AQ84" s="19" t="n">
        <f aca="false">AQ83+IF($B84=1,IF(MOD(2-$D84,7)&lt;Inputs!$B$6,1,0),0)</f>
        <v>2</v>
      </c>
      <c r="AR84" s="19" t="n">
        <f aca="false">AR83+IF($B84=1,IF(MOD(3-$D84,7)&lt;Inputs!$B$6,1,0),0)</f>
        <v>3</v>
      </c>
      <c r="AS84" s="19" t="n">
        <f aca="false">AS83+IF($B84=1,IF(MOD(4-$D84,7)&lt;Inputs!$B$6,1,0),0)</f>
        <v>2</v>
      </c>
      <c r="AT84" s="19" t="n">
        <f aca="false">AT83+IF($B84=1,IF(MOD(5-$D84,7)&lt;Inputs!$B$6,1,0),0)</f>
        <v>3</v>
      </c>
      <c r="AU84" s="19" t="n">
        <f aca="false">AU83+IF($B84=1,IF(MOD(6-$D84,7)&lt;Inputs!$B$6,1,0),0)</f>
        <v>4</v>
      </c>
    </row>
    <row r="85" customFormat="false" ht="15" hidden="false" customHeight="false" outlineLevel="0" collapsed="false">
      <c r="A85" s="0" t="n">
        <v>80</v>
      </c>
      <c r="B85" s="0" t="n">
        <f aca="false">IF(A85&lt;=Inputs!$B$3,1,0)</f>
        <v>0</v>
      </c>
      <c r="C85" s="0" t="n">
        <f aca="false">MOD(5+MOD(A85-1,7),7)</f>
        <v>0</v>
      </c>
      <c r="D85" s="0" t="n">
        <f aca="false">IF(Inputs!C102&lt;&gt;"",MATCH(Inputs!C102,Inputs!$A$11:$A$17,0)-1,IF(B85=0,0,MATCH(MIN(AH85:AN85),AH85:AN85,0)-1))</f>
        <v>0</v>
      </c>
      <c r="F85" s="0" t="n">
        <f aca="false">IF(OR($B85=0,F$3=0),0,IF(MOD(0-$D85,7)&lt;Inputs!$B$6,0,1))</f>
        <v>0</v>
      </c>
      <c r="G85" s="0" t="n">
        <f aca="false">IF(OR($B85=0,G$3=0),0,IF(MOD(1-$D85,7)&lt;Inputs!$B$6,0,1))</f>
        <v>0</v>
      </c>
      <c r="H85" s="0" t="n">
        <f aca="false">IF(OR($B85=0,H$3=0),0,IF(MOD(2-$D85,7)&lt;Inputs!$B$6,0,1))</f>
        <v>0</v>
      </c>
      <c r="I85" s="0" t="n">
        <f aca="false">IF(OR($B85=0,I$3=0),0,IF(MOD(3-$D85,7)&lt;Inputs!$B$6,0,1))</f>
        <v>0</v>
      </c>
      <c r="J85" s="0" t="n">
        <f aca="false">IF(OR($B85=0,J$3=0),0,IF(MOD(4-$D85,7)&lt;Inputs!$B$6,0,1))</f>
        <v>0</v>
      </c>
      <c r="K85" s="0" t="n">
        <f aca="false">IF(OR($B85=0,K$3=0),0,IF(MOD(5-$D85,7)&lt;Inputs!$B$6,0,1))</f>
        <v>0</v>
      </c>
      <c r="L85" s="0" t="n">
        <f aca="false">IF(OR($B85=0,L$3=0),0,IF(MOD(6-$D85,7)&lt;Inputs!$B$6,0,1))</f>
        <v>0</v>
      </c>
      <c r="M85" s="0" t="n">
        <f aca="false">SUM(F$6:F85)</f>
        <v>7</v>
      </c>
      <c r="N85" s="0" t="n">
        <f aca="false">SUM(G$6:G85)</f>
        <v>7</v>
      </c>
      <c r="O85" s="0" t="n">
        <f aca="false">SUM(H$6:H85)</f>
        <v>8</v>
      </c>
      <c r="P85" s="0" t="n">
        <f aca="false">SUM(I$6:I85)</f>
        <v>7</v>
      </c>
      <c r="Q85" s="0" t="n">
        <f aca="false">SUM(J$6:J85)</f>
        <v>8</v>
      </c>
      <c r="R85" s="0" t="n">
        <f aca="false">SUM(K$6:K85)</f>
        <v>7</v>
      </c>
      <c r="S85" s="0" t="n">
        <f aca="false">SUM(L$6:L85)</f>
        <v>6</v>
      </c>
      <c r="T85" s="18" t="n">
        <f aca="false">IF(F85=0,0,IF(Inputs!$D102="Open",F$1,IF(Inputs!$D102="Close",ROUND(F$2*1440-F$3*60,0)/1440,IF(OR(INT((M85-1)/Inputs!$B$7)=0,(INT((M$3-1-MOD(M85-1,Inputs!$B$7))/Inputs!$B$7)+1)&lt;=1),F$1,IF(INT((M85-1)/Inputs!$B$7)&gt;=(INT((M$3-1-MOD(M85-1,Inputs!$B$7))/Inputs!$B$7)+1)-1,ROUND(F$2*1440-F$3*60,0)/1440,MAX(F$1,MIN(ROUND(F$2*1440-F$3*60,0)/1440,ROUND((F$1+INT((M85-1)/Inputs!$B$7)/((INT((M$3-1-MOD(M85-1,Inputs!$B$7))/Inputs!$B$7)+1)-1)*((ROUND(F$2*1440-F$3*60,0)/1440)-F$1))*96,0)/96)))))))</f>
        <v>0</v>
      </c>
      <c r="U85" s="18" t="n">
        <f aca="false">IF(G85=0,0,IF(Inputs!$D102="Open",G$1,IF(Inputs!$D102="Close",ROUND(G$2*1440-G$3*60,0)/1440,IF(OR(INT((N85-1)/Inputs!$B$7)=0,(INT((N$3-1-MOD(N85-1,Inputs!$B$7))/Inputs!$B$7)+1)&lt;=1),G$1,IF(INT((N85-1)/Inputs!$B$7)&gt;=(INT((N$3-1-MOD(N85-1,Inputs!$B$7))/Inputs!$B$7)+1)-1,ROUND(G$2*1440-G$3*60,0)/1440,MAX(G$1,MIN(ROUND(G$2*1440-G$3*60,0)/1440,ROUND((G$1+INT((N85-1)/Inputs!$B$7)/((INT((N$3-1-MOD(N85-1,Inputs!$B$7))/Inputs!$B$7)+1)-1)*((ROUND(G$2*1440-G$3*60,0)/1440)-G$1))*96,0)/96)))))))</f>
        <v>0</v>
      </c>
      <c r="V85" s="18" t="n">
        <f aca="false">IF(H85=0,0,IF(Inputs!$D102="Open",H$1,IF(Inputs!$D102="Close",ROUND(H$2*1440-H$3*60,0)/1440,IF(OR(INT((O85-1)/Inputs!$B$7)=0,(INT((O$3-1-MOD(O85-1,Inputs!$B$7))/Inputs!$B$7)+1)&lt;=1),H$1,IF(INT((O85-1)/Inputs!$B$7)&gt;=(INT((O$3-1-MOD(O85-1,Inputs!$B$7))/Inputs!$B$7)+1)-1,ROUND(H$2*1440-H$3*60,0)/1440,MAX(H$1,MIN(ROUND(H$2*1440-H$3*60,0)/1440,ROUND((H$1+INT((O85-1)/Inputs!$B$7)/((INT((O$3-1-MOD(O85-1,Inputs!$B$7))/Inputs!$B$7)+1)-1)*((ROUND(H$2*1440-H$3*60,0)/1440)-H$1))*96,0)/96)))))))</f>
        <v>0</v>
      </c>
      <c r="W85" s="18" t="n">
        <f aca="false">IF(I85=0,0,IF(Inputs!$D102="Open",I$1,IF(Inputs!$D102="Close",ROUND(I$2*1440-I$3*60,0)/1440,IF(OR(INT((P85-1)/Inputs!$B$7)=0,(INT((P$3-1-MOD(P85-1,Inputs!$B$7))/Inputs!$B$7)+1)&lt;=1),I$1,IF(INT((P85-1)/Inputs!$B$7)&gt;=(INT((P$3-1-MOD(P85-1,Inputs!$B$7))/Inputs!$B$7)+1)-1,ROUND(I$2*1440-I$3*60,0)/1440,MAX(I$1,MIN(ROUND(I$2*1440-I$3*60,0)/1440,ROUND((I$1+INT((P85-1)/Inputs!$B$7)/((INT((P$3-1-MOD(P85-1,Inputs!$B$7))/Inputs!$B$7)+1)-1)*((ROUND(I$2*1440-I$3*60,0)/1440)-I$1))*96,0)/96)))))))</f>
        <v>0</v>
      </c>
      <c r="X85" s="18" t="n">
        <f aca="false">IF(J85=0,0,IF(Inputs!$D102="Open",J$1,IF(Inputs!$D102="Close",ROUND(J$2*1440-J$3*60,0)/1440,IF(OR(INT((Q85-1)/Inputs!$B$7)=0,(INT((Q$3-1-MOD(Q85-1,Inputs!$B$7))/Inputs!$B$7)+1)&lt;=1),J$1,IF(INT((Q85-1)/Inputs!$B$7)&gt;=(INT((Q$3-1-MOD(Q85-1,Inputs!$B$7))/Inputs!$B$7)+1)-1,ROUND(J$2*1440-J$3*60,0)/1440,MAX(J$1,MIN(ROUND(J$2*1440-J$3*60,0)/1440,ROUND((J$1+INT((Q85-1)/Inputs!$B$7)/((INT((Q$3-1-MOD(Q85-1,Inputs!$B$7))/Inputs!$B$7)+1)-1)*((ROUND(J$2*1440-J$3*60,0)/1440)-J$1))*96,0)/96)))))))</f>
        <v>0</v>
      </c>
      <c r="Y85" s="18" t="n">
        <f aca="false">IF(K85=0,0,IF(Inputs!$D102="Open",K$1,IF(Inputs!$D102="Close",ROUND(K$2*1440-K$3*60,0)/1440,IF(OR(INT((R85-1)/Inputs!$B$7)=0,(INT((R$3-1-MOD(R85-1,Inputs!$B$7))/Inputs!$B$7)+1)&lt;=1),K$1,IF(INT((R85-1)/Inputs!$B$7)&gt;=(INT((R$3-1-MOD(R85-1,Inputs!$B$7))/Inputs!$B$7)+1)-1,ROUND(K$2*1440-K$3*60,0)/1440,MAX(K$1,MIN(ROUND(K$2*1440-K$3*60,0)/1440,ROUND((K$1+INT((R85-1)/Inputs!$B$7)/((INT((R$3-1-MOD(R85-1,Inputs!$B$7))/Inputs!$B$7)+1)-1)*((ROUND(K$2*1440-K$3*60,0)/1440)-K$1))*96,0)/96)))))))</f>
        <v>0</v>
      </c>
      <c r="Z85" s="18" t="n">
        <f aca="false">IF(L85=0,0,IF(Inputs!$D102="Open",L$1,IF(Inputs!$D102="Close",ROUND(L$2*1440-L$3*60,0)/1440,IF(OR(INT((S85-1)/Inputs!$B$7)=0,(INT((S$3-1-MOD(S85-1,Inputs!$B$7))/Inputs!$B$7)+1)&lt;=1),L$1,IF(INT((S85-1)/Inputs!$B$7)&gt;=(INT((S$3-1-MOD(S85-1,Inputs!$B$7))/Inputs!$B$7)+1)-1,ROUND(L$2*1440-L$3*60,0)/1440,MAX(L$1,MIN(ROUND(L$2*1440-L$3*60,0)/1440,ROUND((L$1+INT((S85-1)/Inputs!$B$7)/((INT((S$3-1-MOD(S85-1,Inputs!$B$7))/Inputs!$B$7)+1)-1)*((ROUND(L$2*1440-L$3*60,0)/1440)-L$1))*96,0)/96)))))))</f>
        <v>0</v>
      </c>
      <c r="AA85" s="18" t="n">
        <f aca="false">IF(F85=0,0,ROUND(T85*1440+F$3*60,0)/1440)</f>
        <v>0</v>
      </c>
      <c r="AB85" s="18" t="n">
        <f aca="false">IF(G85=0,0,ROUND(U85*1440+G$3*60,0)/1440)</f>
        <v>0</v>
      </c>
      <c r="AC85" s="18" t="n">
        <f aca="false">IF(H85=0,0,ROUND(V85*1440+H$3*60,0)/1440)</f>
        <v>0</v>
      </c>
      <c r="AD85" s="18" t="n">
        <f aca="false">IF(I85=0,0,ROUND(W85*1440+I$3*60,0)/1440)</f>
        <v>0</v>
      </c>
      <c r="AE85" s="18" t="n">
        <f aca="false">IF(J85=0,0,ROUND(X85*1440+J$3*60,0)/1440)</f>
        <v>0</v>
      </c>
      <c r="AF85" s="18" t="n">
        <f aca="false">IF(K85=0,0,ROUND(Y85*1440+K$3*60,0)/1440)</f>
        <v>0</v>
      </c>
      <c r="AG85" s="18" t="n">
        <f aca="false">IF(L85=0,0,ROUND(Z85*1440+L$3*60,0)/1440)</f>
        <v>0</v>
      </c>
      <c r="AH85" s="19" t="n">
        <f aca="false">SUMPRODUCT((MOD(AO$1:AU$1-0,7)&lt;Inputs!$B$6)*AO$2:AU$2*(AO84:AU84+1))*100+MOD(0-5,7)</f>
        <v>1602</v>
      </c>
      <c r="AI85" s="19" t="n">
        <f aca="false">SUMPRODUCT((MOD(AO$1:AU$1-1,7)&lt;Inputs!$B$6)*AO$2:AU$2*(AO84:AU84+1))*100+MOD(1-5,7)</f>
        <v>1403</v>
      </c>
      <c r="AJ85" s="19" t="n">
        <f aca="false">SUMPRODUCT((MOD(AO$1:AU$1-2,7)&lt;Inputs!$B$6)*AO$2:AU$2*(AO84:AU84+1))*100+MOD(2-5,7)</f>
        <v>1404</v>
      </c>
      <c r="AK85" s="19" t="n">
        <f aca="false">SUMPRODUCT((MOD(AO$1:AU$1-3,7)&lt;Inputs!$B$6)*AO$2:AU$2*(AO84:AU84+1))*100+MOD(3-5,7)</f>
        <v>1405</v>
      </c>
      <c r="AL85" s="19" t="n">
        <f aca="false">SUMPRODUCT((MOD(AO$1:AU$1-4,7)&lt;Inputs!$B$6)*AO$2:AU$2*(AO84:AU84+1))*100+MOD(4-5,7)</f>
        <v>1406</v>
      </c>
      <c r="AM85" s="19" t="n">
        <f aca="false">SUMPRODUCT((MOD(AO$1:AU$1-5,7)&lt;Inputs!$B$6)*AO$2:AU$2*(AO84:AU84+1))*100+MOD(5-5,7)</f>
        <v>1800</v>
      </c>
      <c r="AN85" s="19" t="n">
        <f aca="false">SUMPRODUCT((MOD(AO$1:AU$1-6,7)&lt;Inputs!$B$6)*AO$2:AU$2*(AO84:AU84+1))*100+MOD(6-5,7)</f>
        <v>1801</v>
      </c>
      <c r="AO85" s="19" t="n">
        <f aca="false">AO84+IF($B85=1,IF(MOD(0-$D85,7)&lt;Inputs!$B$6,1,0),0)</f>
        <v>3</v>
      </c>
      <c r="AP85" s="19" t="n">
        <f aca="false">AP84+IF($B85=1,IF(MOD(1-$D85,7)&lt;Inputs!$B$6,1,0),0)</f>
        <v>3</v>
      </c>
      <c r="AQ85" s="19" t="n">
        <f aca="false">AQ84+IF($B85=1,IF(MOD(2-$D85,7)&lt;Inputs!$B$6,1,0),0)</f>
        <v>2</v>
      </c>
      <c r="AR85" s="19" t="n">
        <f aca="false">AR84+IF($B85=1,IF(MOD(3-$D85,7)&lt;Inputs!$B$6,1,0),0)</f>
        <v>3</v>
      </c>
      <c r="AS85" s="19" t="n">
        <f aca="false">AS84+IF($B85=1,IF(MOD(4-$D85,7)&lt;Inputs!$B$6,1,0),0)</f>
        <v>2</v>
      </c>
      <c r="AT85" s="19" t="n">
        <f aca="false">AT84+IF($B85=1,IF(MOD(5-$D85,7)&lt;Inputs!$B$6,1,0),0)</f>
        <v>3</v>
      </c>
      <c r="AU85" s="19" t="n">
        <f aca="false">AU84+IF($B85=1,IF(MOD(6-$D85,7)&lt;Inputs!$B$6,1,0),0)</f>
        <v>4</v>
      </c>
    </row>
    <row r="86" customFormat="false" ht="15" hidden="false" customHeight="false" outlineLevel="0" collapsed="false">
      <c r="A86" s="0" t="n">
        <v>81</v>
      </c>
      <c r="B86" s="0" t="n">
        <f aca="false">IF(A86&lt;=Inputs!$B$3,1,0)</f>
        <v>0</v>
      </c>
      <c r="C86" s="0" t="n">
        <f aca="false">MOD(5+MOD(A86-1,7),7)</f>
        <v>1</v>
      </c>
      <c r="D86" s="0" t="n">
        <f aca="false">IF(Inputs!C103&lt;&gt;"",MATCH(Inputs!C103,Inputs!$A$11:$A$17,0)-1,IF(B86=0,0,MATCH(MIN(AH86:AN86),AH86:AN86,0)-1))</f>
        <v>0</v>
      </c>
      <c r="F86" s="0" t="n">
        <f aca="false">IF(OR($B86=0,F$3=0),0,IF(MOD(0-$D86,7)&lt;Inputs!$B$6,0,1))</f>
        <v>0</v>
      </c>
      <c r="G86" s="0" t="n">
        <f aca="false">IF(OR($B86=0,G$3=0),0,IF(MOD(1-$D86,7)&lt;Inputs!$B$6,0,1))</f>
        <v>0</v>
      </c>
      <c r="H86" s="0" t="n">
        <f aca="false">IF(OR($B86=0,H$3=0),0,IF(MOD(2-$D86,7)&lt;Inputs!$B$6,0,1))</f>
        <v>0</v>
      </c>
      <c r="I86" s="0" t="n">
        <f aca="false">IF(OR($B86=0,I$3=0),0,IF(MOD(3-$D86,7)&lt;Inputs!$B$6,0,1))</f>
        <v>0</v>
      </c>
      <c r="J86" s="0" t="n">
        <f aca="false">IF(OR($B86=0,J$3=0),0,IF(MOD(4-$D86,7)&lt;Inputs!$B$6,0,1))</f>
        <v>0</v>
      </c>
      <c r="K86" s="0" t="n">
        <f aca="false">IF(OR($B86=0,K$3=0),0,IF(MOD(5-$D86,7)&lt;Inputs!$B$6,0,1))</f>
        <v>0</v>
      </c>
      <c r="L86" s="0" t="n">
        <f aca="false">IF(OR($B86=0,L$3=0),0,IF(MOD(6-$D86,7)&lt;Inputs!$B$6,0,1))</f>
        <v>0</v>
      </c>
      <c r="M86" s="0" t="n">
        <f aca="false">SUM(F$6:F86)</f>
        <v>7</v>
      </c>
      <c r="N86" s="0" t="n">
        <f aca="false">SUM(G$6:G86)</f>
        <v>7</v>
      </c>
      <c r="O86" s="0" t="n">
        <f aca="false">SUM(H$6:H86)</f>
        <v>8</v>
      </c>
      <c r="P86" s="0" t="n">
        <f aca="false">SUM(I$6:I86)</f>
        <v>7</v>
      </c>
      <c r="Q86" s="0" t="n">
        <f aca="false">SUM(J$6:J86)</f>
        <v>8</v>
      </c>
      <c r="R86" s="0" t="n">
        <f aca="false">SUM(K$6:K86)</f>
        <v>7</v>
      </c>
      <c r="S86" s="0" t="n">
        <f aca="false">SUM(L$6:L86)</f>
        <v>6</v>
      </c>
      <c r="T86" s="18" t="n">
        <f aca="false">IF(F86=0,0,IF(Inputs!$D103="Open",F$1,IF(Inputs!$D103="Close",ROUND(F$2*1440-F$3*60,0)/1440,IF(OR(INT((M86-1)/Inputs!$B$7)=0,(INT((M$3-1-MOD(M86-1,Inputs!$B$7))/Inputs!$B$7)+1)&lt;=1),F$1,IF(INT((M86-1)/Inputs!$B$7)&gt;=(INT((M$3-1-MOD(M86-1,Inputs!$B$7))/Inputs!$B$7)+1)-1,ROUND(F$2*1440-F$3*60,0)/1440,MAX(F$1,MIN(ROUND(F$2*1440-F$3*60,0)/1440,ROUND((F$1+INT((M86-1)/Inputs!$B$7)/((INT((M$3-1-MOD(M86-1,Inputs!$B$7))/Inputs!$B$7)+1)-1)*((ROUND(F$2*1440-F$3*60,0)/1440)-F$1))*96,0)/96)))))))</f>
        <v>0</v>
      </c>
      <c r="U86" s="18" t="n">
        <f aca="false">IF(G86=0,0,IF(Inputs!$D103="Open",G$1,IF(Inputs!$D103="Close",ROUND(G$2*1440-G$3*60,0)/1440,IF(OR(INT((N86-1)/Inputs!$B$7)=0,(INT((N$3-1-MOD(N86-1,Inputs!$B$7))/Inputs!$B$7)+1)&lt;=1),G$1,IF(INT((N86-1)/Inputs!$B$7)&gt;=(INT((N$3-1-MOD(N86-1,Inputs!$B$7))/Inputs!$B$7)+1)-1,ROUND(G$2*1440-G$3*60,0)/1440,MAX(G$1,MIN(ROUND(G$2*1440-G$3*60,0)/1440,ROUND((G$1+INT((N86-1)/Inputs!$B$7)/((INT((N$3-1-MOD(N86-1,Inputs!$B$7))/Inputs!$B$7)+1)-1)*((ROUND(G$2*1440-G$3*60,0)/1440)-G$1))*96,0)/96)))))))</f>
        <v>0</v>
      </c>
      <c r="V86" s="18" t="n">
        <f aca="false">IF(H86=0,0,IF(Inputs!$D103="Open",H$1,IF(Inputs!$D103="Close",ROUND(H$2*1440-H$3*60,0)/1440,IF(OR(INT((O86-1)/Inputs!$B$7)=0,(INT((O$3-1-MOD(O86-1,Inputs!$B$7))/Inputs!$B$7)+1)&lt;=1),H$1,IF(INT((O86-1)/Inputs!$B$7)&gt;=(INT((O$3-1-MOD(O86-1,Inputs!$B$7))/Inputs!$B$7)+1)-1,ROUND(H$2*1440-H$3*60,0)/1440,MAX(H$1,MIN(ROUND(H$2*1440-H$3*60,0)/1440,ROUND((H$1+INT((O86-1)/Inputs!$B$7)/((INT((O$3-1-MOD(O86-1,Inputs!$B$7))/Inputs!$B$7)+1)-1)*((ROUND(H$2*1440-H$3*60,0)/1440)-H$1))*96,0)/96)))))))</f>
        <v>0</v>
      </c>
      <c r="W86" s="18" t="n">
        <f aca="false">IF(I86=0,0,IF(Inputs!$D103="Open",I$1,IF(Inputs!$D103="Close",ROUND(I$2*1440-I$3*60,0)/1440,IF(OR(INT((P86-1)/Inputs!$B$7)=0,(INT((P$3-1-MOD(P86-1,Inputs!$B$7))/Inputs!$B$7)+1)&lt;=1),I$1,IF(INT((P86-1)/Inputs!$B$7)&gt;=(INT((P$3-1-MOD(P86-1,Inputs!$B$7))/Inputs!$B$7)+1)-1,ROUND(I$2*1440-I$3*60,0)/1440,MAX(I$1,MIN(ROUND(I$2*1440-I$3*60,0)/1440,ROUND((I$1+INT((P86-1)/Inputs!$B$7)/((INT((P$3-1-MOD(P86-1,Inputs!$B$7))/Inputs!$B$7)+1)-1)*((ROUND(I$2*1440-I$3*60,0)/1440)-I$1))*96,0)/96)))))))</f>
        <v>0</v>
      </c>
      <c r="X86" s="18" t="n">
        <f aca="false">IF(J86=0,0,IF(Inputs!$D103="Open",J$1,IF(Inputs!$D103="Close",ROUND(J$2*1440-J$3*60,0)/1440,IF(OR(INT((Q86-1)/Inputs!$B$7)=0,(INT((Q$3-1-MOD(Q86-1,Inputs!$B$7))/Inputs!$B$7)+1)&lt;=1),J$1,IF(INT((Q86-1)/Inputs!$B$7)&gt;=(INT((Q$3-1-MOD(Q86-1,Inputs!$B$7))/Inputs!$B$7)+1)-1,ROUND(J$2*1440-J$3*60,0)/1440,MAX(J$1,MIN(ROUND(J$2*1440-J$3*60,0)/1440,ROUND((J$1+INT((Q86-1)/Inputs!$B$7)/((INT((Q$3-1-MOD(Q86-1,Inputs!$B$7))/Inputs!$B$7)+1)-1)*((ROUND(J$2*1440-J$3*60,0)/1440)-J$1))*96,0)/96)))))))</f>
        <v>0</v>
      </c>
      <c r="Y86" s="18" t="n">
        <f aca="false">IF(K86=0,0,IF(Inputs!$D103="Open",K$1,IF(Inputs!$D103="Close",ROUND(K$2*1440-K$3*60,0)/1440,IF(OR(INT((R86-1)/Inputs!$B$7)=0,(INT((R$3-1-MOD(R86-1,Inputs!$B$7))/Inputs!$B$7)+1)&lt;=1),K$1,IF(INT((R86-1)/Inputs!$B$7)&gt;=(INT((R$3-1-MOD(R86-1,Inputs!$B$7))/Inputs!$B$7)+1)-1,ROUND(K$2*1440-K$3*60,0)/1440,MAX(K$1,MIN(ROUND(K$2*1440-K$3*60,0)/1440,ROUND((K$1+INT((R86-1)/Inputs!$B$7)/((INT((R$3-1-MOD(R86-1,Inputs!$B$7))/Inputs!$B$7)+1)-1)*((ROUND(K$2*1440-K$3*60,0)/1440)-K$1))*96,0)/96)))))))</f>
        <v>0</v>
      </c>
      <c r="Z86" s="18" t="n">
        <f aca="false">IF(L86=0,0,IF(Inputs!$D103="Open",L$1,IF(Inputs!$D103="Close",ROUND(L$2*1440-L$3*60,0)/1440,IF(OR(INT((S86-1)/Inputs!$B$7)=0,(INT((S$3-1-MOD(S86-1,Inputs!$B$7))/Inputs!$B$7)+1)&lt;=1),L$1,IF(INT((S86-1)/Inputs!$B$7)&gt;=(INT((S$3-1-MOD(S86-1,Inputs!$B$7))/Inputs!$B$7)+1)-1,ROUND(L$2*1440-L$3*60,0)/1440,MAX(L$1,MIN(ROUND(L$2*1440-L$3*60,0)/1440,ROUND((L$1+INT((S86-1)/Inputs!$B$7)/((INT((S$3-1-MOD(S86-1,Inputs!$B$7))/Inputs!$B$7)+1)-1)*((ROUND(L$2*1440-L$3*60,0)/1440)-L$1))*96,0)/96)))))))</f>
        <v>0</v>
      </c>
      <c r="AA86" s="18" t="n">
        <f aca="false">IF(F86=0,0,ROUND(T86*1440+F$3*60,0)/1440)</f>
        <v>0</v>
      </c>
      <c r="AB86" s="18" t="n">
        <f aca="false">IF(G86=0,0,ROUND(U86*1440+G$3*60,0)/1440)</f>
        <v>0</v>
      </c>
      <c r="AC86" s="18" t="n">
        <f aca="false">IF(H86=0,0,ROUND(V86*1440+H$3*60,0)/1440)</f>
        <v>0</v>
      </c>
      <c r="AD86" s="18" t="n">
        <f aca="false">IF(I86=0,0,ROUND(W86*1440+I$3*60,0)/1440)</f>
        <v>0</v>
      </c>
      <c r="AE86" s="18" t="n">
        <f aca="false">IF(J86=0,0,ROUND(X86*1440+J$3*60,0)/1440)</f>
        <v>0</v>
      </c>
      <c r="AF86" s="18" t="n">
        <f aca="false">IF(K86=0,0,ROUND(Y86*1440+K$3*60,0)/1440)</f>
        <v>0</v>
      </c>
      <c r="AG86" s="18" t="n">
        <f aca="false">IF(L86=0,0,ROUND(Z86*1440+L$3*60,0)/1440)</f>
        <v>0</v>
      </c>
      <c r="AH86" s="19" t="n">
        <f aca="false">SUMPRODUCT((MOD(AO$1:AU$1-0,7)&lt;Inputs!$B$6)*AO$2:AU$2*(AO85:AU85+1))*100+MOD(0-5,7)</f>
        <v>1602</v>
      </c>
      <c r="AI86" s="19" t="n">
        <f aca="false">SUMPRODUCT((MOD(AO$1:AU$1-1,7)&lt;Inputs!$B$6)*AO$2:AU$2*(AO85:AU85+1))*100+MOD(1-5,7)</f>
        <v>1403</v>
      </c>
      <c r="AJ86" s="19" t="n">
        <f aca="false">SUMPRODUCT((MOD(AO$1:AU$1-2,7)&lt;Inputs!$B$6)*AO$2:AU$2*(AO85:AU85+1))*100+MOD(2-5,7)</f>
        <v>1404</v>
      </c>
      <c r="AK86" s="19" t="n">
        <f aca="false">SUMPRODUCT((MOD(AO$1:AU$1-3,7)&lt;Inputs!$B$6)*AO$2:AU$2*(AO85:AU85+1))*100+MOD(3-5,7)</f>
        <v>1405</v>
      </c>
      <c r="AL86" s="19" t="n">
        <f aca="false">SUMPRODUCT((MOD(AO$1:AU$1-4,7)&lt;Inputs!$B$6)*AO$2:AU$2*(AO85:AU85+1))*100+MOD(4-5,7)</f>
        <v>1406</v>
      </c>
      <c r="AM86" s="19" t="n">
        <f aca="false">SUMPRODUCT((MOD(AO$1:AU$1-5,7)&lt;Inputs!$B$6)*AO$2:AU$2*(AO85:AU85+1))*100+MOD(5-5,7)</f>
        <v>1800</v>
      </c>
      <c r="AN86" s="19" t="n">
        <f aca="false">SUMPRODUCT((MOD(AO$1:AU$1-6,7)&lt;Inputs!$B$6)*AO$2:AU$2*(AO85:AU85+1))*100+MOD(6-5,7)</f>
        <v>1801</v>
      </c>
      <c r="AO86" s="19" t="n">
        <f aca="false">AO85+IF($B86=1,IF(MOD(0-$D86,7)&lt;Inputs!$B$6,1,0),0)</f>
        <v>3</v>
      </c>
      <c r="AP86" s="19" t="n">
        <f aca="false">AP85+IF($B86=1,IF(MOD(1-$D86,7)&lt;Inputs!$B$6,1,0),0)</f>
        <v>3</v>
      </c>
      <c r="AQ86" s="19" t="n">
        <f aca="false">AQ85+IF($B86=1,IF(MOD(2-$D86,7)&lt;Inputs!$B$6,1,0),0)</f>
        <v>2</v>
      </c>
      <c r="AR86" s="19" t="n">
        <f aca="false">AR85+IF($B86=1,IF(MOD(3-$D86,7)&lt;Inputs!$B$6,1,0),0)</f>
        <v>3</v>
      </c>
      <c r="AS86" s="19" t="n">
        <f aca="false">AS85+IF($B86=1,IF(MOD(4-$D86,7)&lt;Inputs!$B$6,1,0),0)</f>
        <v>2</v>
      </c>
      <c r="AT86" s="19" t="n">
        <f aca="false">AT85+IF($B86=1,IF(MOD(5-$D86,7)&lt;Inputs!$B$6,1,0),0)</f>
        <v>3</v>
      </c>
      <c r="AU86" s="19" t="n">
        <f aca="false">AU85+IF($B86=1,IF(MOD(6-$D86,7)&lt;Inputs!$B$6,1,0),0)</f>
        <v>4</v>
      </c>
    </row>
    <row r="87" customFormat="false" ht="15" hidden="false" customHeight="false" outlineLevel="0" collapsed="false">
      <c r="A87" s="0" t="n">
        <v>82</v>
      </c>
      <c r="B87" s="0" t="n">
        <f aca="false">IF(A87&lt;=Inputs!$B$3,1,0)</f>
        <v>0</v>
      </c>
      <c r="C87" s="0" t="n">
        <f aca="false">MOD(5+MOD(A87-1,7),7)</f>
        <v>2</v>
      </c>
      <c r="D87" s="0" t="n">
        <f aca="false">IF(Inputs!C104&lt;&gt;"",MATCH(Inputs!C104,Inputs!$A$11:$A$17,0)-1,IF(B87=0,0,MATCH(MIN(AH87:AN87),AH87:AN87,0)-1))</f>
        <v>0</v>
      </c>
      <c r="F87" s="0" t="n">
        <f aca="false">IF(OR($B87=0,F$3=0),0,IF(MOD(0-$D87,7)&lt;Inputs!$B$6,0,1))</f>
        <v>0</v>
      </c>
      <c r="G87" s="0" t="n">
        <f aca="false">IF(OR($B87=0,G$3=0),0,IF(MOD(1-$D87,7)&lt;Inputs!$B$6,0,1))</f>
        <v>0</v>
      </c>
      <c r="H87" s="0" t="n">
        <f aca="false">IF(OR($B87=0,H$3=0),0,IF(MOD(2-$D87,7)&lt;Inputs!$B$6,0,1))</f>
        <v>0</v>
      </c>
      <c r="I87" s="0" t="n">
        <f aca="false">IF(OR($B87=0,I$3=0),0,IF(MOD(3-$D87,7)&lt;Inputs!$B$6,0,1))</f>
        <v>0</v>
      </c>
      <c r="J87" s="0" t="n">
        <f aca="false">IF(OR($B87=0,J$3=0),0,IF(MOD(4-$D87,7)&lt;Inputs!$B$6,0,1))</f>
        <v>0</v>
      </c>
      <c r="K87" s="0" t="n">
        <f aca="false">IF(OR($B87=0,K$3=0),0,IF(MOD(5-$D87,7)&lt;Inputs!$B$6,0,1))</f>
        <v>0</v>
      </c>
      <c r="L87" s="0" t="n">
        <f aca="false">IF(OR($B87=0,L$3=0),0,IF(MOD(6-$D87,7)&lt;Inputs!$B$6,0,1))</f>
        <v>0</v>
      </c>
      <c r="M87" s="0" t="n">
        <f aca="false">SUM(F$6:F87)</f>
        <v>7</v>
      </c>
      <c r="N87" s="0" t="n">
        <f aca="false">SUM(G$6:G87)</f>
        <v>7</v>
      </c>
      <c r="O87" s="0" t="n">
        <f aca="false">SUM(H$6:H87)</f>
        <v>8</v>
      </c>
      <c r="P87" s="0" t="n">
        <f aca="false">SUM(I$6:I87)</f>
        <v>7</v>
      </c>
      <c r="Q87" s="0" t="n">
        <f aca="false">SUM(J$6:J87)</f>
        <v>8</v>
      </c>
      <c r="R87" s="0" t="n">
        <f aca="false">SUM(K$6:K87)</f>
        <v>7</v>
      </c>
      <c r="S87" s="0" t="n">
        <f aca="false">SUM(L$6:L87)</f>
        <v>6</v>
      </c>
      <c r="T87" s="18" t="n">
        <f aca="false">IF(F87=0,0,IF(Inputs!$D104="Open",F$1,IF(Inputs!$D104="Close",ROUND(F$2*1440-F$3*60,0)/1440,IF(OR(INT((M87-1)/Inputs!$B$7)=0,(INT((M$3-1-MOD(M87-1,Inputs!$B$7))/Inputs!$B$7)+1)&lt;=1),F$1,IF(INT((M87-1)/Inputs!$B$7)&gt;=(INT((M$3-1-MOD(M87-1,Inputs!$B$7))/Inputs!$B$7)+1)-1,ROUND(F$2*1440-F$3*60,0)/1440,MAX(F$1,MIN(ROUND(F$2*1440-F$3*60,0)/1440,ROUND((F$1+INT((M87-1)/Inputs!$B$7)/((INT((M$3-1-MOD(M87-1,Inputs!$B$7))/Inputs!$B$7)+1)-1)*((ROUND(F$2*1440-F$3*60,0)/1440)-F$1))*96,0)/96)))))))</f>
        <v>0</v>
      </c>
      <c r="U87" s="18" t="n">
        <f aca="false">IF(G87=0,0,IF(Inputs!$D104="Open",G$1,IF(Inputs!$D104="Close",ROUND(G$2*1440-G$3*60,0)/1440,IF(OR(INT((N87-1)/Inputs!$B$7)=0,(INT((N$3-1-MOD(N87-1,Inputs!$B$7))/Inputs!$B$7)+1)&lt;=1),G$1,IF(INT((N87-1)/Inputs!$B$7)&gt;=(INT((N$3-1-MOD(N87-1,Inputs!$B$7))/Inputs!$B$7)+1)-1,ROUND(G$2*1440-G$3*60,0)/1440,MAX(G$1,MIN(ROUND(G$2*1440-G$3*60,0)/1440,ROUND((G$1+INT((N87-1)/Inputs!$B$7)/((INT((N$3-1-MOD(N87-1,Inputs!$B$7))/Inputs!$B$7)+1)-1)*((ROUND(G$2*1440-G$3*60,0)/1440)-G$1))*96,0)/96)))))))</f>
        <v>0</v>
      </c>
      <c r="V87" s="18" t="n">
        <f aca="false">IF(H87=0,0,IF(Inputs!$D104="Open",H$1,IF(Inputs!$D104="Close",ROUND(H$2*1440-H$3*60,0)/1440,IF(OR(INT((O87-1)/Inputs!$B$7)=0,(INT((O$3-1-MOD(O87-1,Inputs!$B$7))/Inputs!$B$7)+1)&lt;=1),H$1,IF(INT((O87-1)/Inputs!$B$7)&gt;=(INT((O$3-1-MOD(O87-1,Inputs!$B$7))/Inputs!$B$7)+1)-1,ROUND(H$2*1440-H$3*60,0)/1440,MAX(H$1,MIN(ROUND(H$2*1440-H$3*60,0)/1440,ROUND((H$1+INT((O87-1)/Inputs!$B$7)/((INT((O$3-1-MOD(O87-1,Inputs!$B$7))/Inputs!$B$7)+1)-1)*((ROUND(H$2*1440-H$3*60,0)/1440)-H$1))*96,0)/96)))))))</f>
        <v>0</v>
      </c>
      <c r="W87" s="18" t="n">
        <f aca="false">IF(I87=0,0,IF(Inputs!$D104="Open",I$1,IF(Inputs!$D104="Close",ROUND(I$2*1440-I$3*60,0)/1440,IF(OR(INT((P87-1)/Inputs!$B$7)=0,(INT((P$3-1-MOD(P87-1,Inputs!$B$7))/Inputs!$B$7)+1)&lt;=1),I$1,IF(INT((P87-1)/Inputs!$B$7)&gt;=(INT((P$3-1-MOD(P87-1,Inputs!$B$7))/Inputs!$B$7)+1)-1,ROUND(I$2*1440-I$3*60,0)/1440,MAX(I$1,MIN(ROUND(I$2*1440-I$3*60,0)/1440,ROUND((I$1+INT((P87-1)/Inputs!$B$7)/((INT((P$3-1-MOD(P87-1,Inputs!$B$7))/Inputs!$B$7)+1)-1)*((ROUND(I$2*1440-I$3*60,0)/1440)-I$1))*96,0)/96)))))))</f>
        <v>0</v>
      </c>
      <c r="X87" s="18" t="n">
        <f aca="false">IF(J87=0,0,IF(Inputs!$D104="Open",J$1,IF(Inputs!$D104="Close",ROUND(J$2*1440-J$3*60,0)/1440,IF(OR(INT((Q87-1)/Inputs!$B$7)=0,(INT((Q$3-1-MOD(Q87-1,Inputs!$B$7))/Inputs!$B$7)+1)&lt;=1),J$1,IF(INT((Q87-1)/Inputs!$B$7)&gt;=(INT((Q$3-1-MOD(Q87-1,Inputs!$B$7))/Inputs!$B$7)+1)-1,ROUND(J$2*1440-J$3*60,0)/1440,MAX(J$1,MIN(ROUND(J$2*1440-J$3*60,0)/1440,ROUND((J$1+INT((Q87-1)/Inputs!$B$7)/((INT((Q$3-1-MOD(Q87-1,Inputs!$B$7))/Inputs!$B$7)+1)-1)*((ROUND(J$2*1440-J$3*60,0)/1440)-J$1))*96,0)/96)))))))</f>
        <v>0</v>
      </c>
      <c r="Y87" s="18" t="n">
        <f aca="false">IF(K87=0,0,IF(Inputs!$D104="Open",K$1,IF(Inputs!$D104="Close",ROUND(K$2*1440-K$3*60,0)/1440,IF(OR(INT((R87-1)/Inputs!$B$7)=0,(INT((R$3-1-MOD(R87-1,Inputs!$B$7))/Inputs!$B$7)+1)&lt;=1),K$1,IF(INT((R87-1)/Inputs!$B$7)&gt;=(INT((R$3-1-MOD(R87-1,Inputs!$B$7))/Inputs!$B$7)+1)-1,ROUND(K$2*1440-K$3*60,0)/1440,MAX(K$1,MIN(ROUND(K$2*1440-K$3*60,0)/1440,ROUND((K$1+INT((R87-1)/Inputs!$B$7)/((INT((R$3-1-MOD(R87-1,Inputs!$B$7))/Inputs!$B$7)+1)-1)*((ROUND(K$2*1440-K$3*60,0)/1440)-K$1))*96,0)/96)))))))</f>
        <v>0</v>
      </c>
      <c r="Z87" s="18" t="n">
        <f aca="false">IF(L87=0,0,IF(Inputs!$D104="Open",L$1,IF(Inputs!$D104="Close",ROUND(L$2*1440-L$3*60,0)/1440,IF(OR(INT((S87-1)/Inputs!$B$7)=0,(INT((S$3-1-MOD(S87-1,Inputs!$B$7))/Inputs!$B$7)+1)&lt;=1),L$1,IF(INT((S87-1)/Inputs!$B$7)&gt;=(INT((S$3-1-MOD(S87-1,Inputs!$B$7))/Inputs!$B$7)+1)-1,ROUND(L$2*1440-L$3*60,0)/1440,MAX(L$1,MIN(ROUND(L$2*1440-L$3*60,0)/1440,ROUND((L$1+INT((S87-1)/Inputs!$B$7)/((INT((S$3-1-MOD(S87-1,Inputs!$B$7))/Inputs!$B$7)+1)-1)*((ROUND(L$2*1440-L$3*60,0)/1440)-L$1))*96,0)/96)))))))</f>
        <v>0</v>
      </c>
      <c r="AA87" s="18" t="n">
        <f aca="false">IF(F87=0,0,ROUND(T87*1440+F$3*60,0)/1440)</f>
        <v>0</v>
      </c>
      <c r="AB87" s="18" t="n">
        <f aca="false">IF(G87=0,0,ROUND(U87*1440+G$3*60,0)/1440)</f>
        <v>0</v>
      </c>
      <c r="AC87" s="18" t="n">
        <f aca="false">IF(H87=0,0,ROUND(V87*1440+H$3*60,0)/1440)</f>
        <v>0</v>
      </c>
      <c r="AD87" s="18" t="n">
        <f aca="false">IF(I87=0,0,ROUND(W87*1440+I$3*60,0)/1440)</f>
        <v>0</v>
      </c>
      <c r="AE87" s="18" t="n">
        <f aca="false">IF(J87=0,0,ROUND(X87*1440+J$3*60,0)/1440)</f>
        <v>0</v>
      </c>
      <c r="AF87" s="18" t="n">
        <f aca="false">IF(K87=0,0,ROUND(Y87*1440+K$3*60,0)/1440)</f>
        <v>0</v>
      </c>
      <c r="AG87" s="18" t="n">
        <f aca="false">IF(L87=0,0,ROUND(Z87*1440+L$3*60,0)/1440)</f>
        <v>0</v>
      </c>
      <c r="AH87" s="19" t="n">
        <f aca="false">SUMPRODUCT((MOD(AO$1:AU$1-0,7)&lt;Inputs!$B$6)*AO$2:AU$2*(AO86:AU86+1))*100+MOD(0-5,7)</f>
        <v>1602</v>
      </c>
      <c r="AI87" s="19" t="n">
        <f aca="false">SUMPRODUCT((MOD(AO$1:AU$1-1,7)&lt;Inputs!$B$6)*AO$2:AU$2*(AO86:AU86+1))*100+MOD(1-5,7)</f>
        <v>1403</v>
      </c>
      <c r="AJ87" s="19" t="n">
        <f aca="false">SUMPRODUCT((MOD(AO$1:AU$1-2,7)&lt;Inputs!$B$6)*AO$2:AU$2*(AO86:AU86+1))*100+MOD(2-5,7)</f>
        <v>1404</v>
      </c>
      <c r="AK87" s="19" t="n">
        <f aca="false">SUMPRODUCT((MOD(AO$1:AU$1-3,7)&lt;Inputs!$B$6)*AO$2:AU$2*(AO86:AU86+1))*100+MOD(3-5,7)</f>
        <v>1405</v>
      </c>
      <c r="AL87" s="19" t="n">
        <f aca="false">SUMPRODUCT((MOD(AO$1:AU$1-4,7)&lt;Inputs!$B$6)*AO$2:AU$2*(AO86:AU86+1))*100+MOD(4-5,7)</f>
        <v>1406</v>
      </c>
      <c r="AM87" s="19" t="n">
        <f aca="false">SUMPRODUCT((MOD(AO$1:AU$1-5,7)&lt;Inputs!$B$6)*AO$2:AU$2*(AO86:AU86+1))*100+MOD(5-5,7)</f>
        <v>1800</v>
      </c>
      <c r="AN87" s="19" t="n">
        <f aca="false">SUMPRODUCT((MOD(AO$1:AU$1-6,7)&lt;Inputs!$B$6)*AO$2:AU$2*(AO86:AU86+1))*100+MOD(6-5,7)</f>
        <v>1801</v>
      </c>
      <c r="AO87" s="19" t="n">
        <f aca="false">AO86+IF($B87=1,IF(MOD(0-$D87,7)&lt;Inputs!$B$6,1,0),0)</f>
        <v>3</v>
      </c>
      <c r="AP87" s="19" t="n">
        <f aca="false">AP86+IF($B87=1,IF(MOD(1-$D87,7)&lt;Inputs!$B$6,1,0),0)</f>
        <v>3</v>
      </c>
      <c r="AQ87" s="19" t="n">
        <f aca="false">AQ86+IF($B87=1,IF(MOD(2-$D87,7)&lt;Inputs!$B$6,1,0),0)</f>
        <v>2</v>
      </c>
      <c r="AR87" s="19" t="n">
        <f aca="false">AR86+IF($B87=1,IF(MOD(3-$D87,7)&lt;Inputs!$B$6,1,0),0)</f>
        <v>3</v>
      </c>
      <c r="AS87" s="19" t="n">
        <f aca="false">AS86+IF($B87=1,IF(MOD(4-$D87,7)&lt;Inputs!$B$6,1,0),0)</f>
        <v>2</v>
      </c>
      <c r="AT87" s="19" t="n">
        <f aca="false">AT86+IF($B87=1,IF(MOD(5-$D87,7)&lt;Inputs!$B$6,1,0),0)</f>
        <v>3</v>
      </c>
      <c r="AU87" s="19" t="n">
        <f aca="false">AU86+IF($B87=1,IF(MOD(6-$D87,7)&lt;Inputs!$B$6,1,0),0)</f>
        <v>4</v>
      </c>
    </row>
    <row r="88" customFormat="false" ht="15" hidden="false" customHeight="false" outlineLevel="0" collapsed="false">
      <c r="A88" s="0" t="n">
        <v>83</v>
      </c>
      <c r="B88" s="0" t="n">
        <f aca="false">IF(A88&lt;=Inputs!$B$3,1,0)</f>
        <v>0</v>
      </c>
      <c r="C88" s="0" t="n">
        <f aca="false">MOD(5+MOD(A88-1,7),7)</f>
        <v>3</v>
      </c>
      <c r="D88" s="0" t="n">
        <f aca="false">IF(Inputs!C105&lt;&gt;"",MATCH(Inputs!C105,Inputs!$A$11:$A$17,0)-1,IF(B88=0,0,MATCH(MIN(AH88:AN88),AH88:AN88,0)-1))</f>
        <v>0</v>
      </c>
      <c r="F88" s="0" t="n">
        <f aca="false">IF(OR($B88=0,F$3=0),0,IF(MOD(0-$D88,7)&lt;Inputs!$B$6,0,1))</f>
        <v>0</v>
      </c>
      <c r="G88" s="0" t="n">
        <f aca="false">IF(OR($B88=0,G$3=0),0,IF(MOD(1-$D88,7)&lt;Inputs!$B$6,0,1))</f>
        <v>0</v>
      </c>
      <c r="H88" s="0" t="n">
        <f aca="false">IF(OR($B88=0,H$3=0),0,IF(MOD(2-$D88,7)&lt;Inputs!$B$6,0,1))</f>
        <v>0</v>
      </c>
      <c r="I88" s="0" t="n">
        <f aca="false">IF(OR($B88=0,I$3=0),0,IF(MOD(3-$D88,7)&lt;Inputs!$B$6,0,1))</f>
        <v>0</v>
      </c>
      <c r="J88" s="0" t="n">
        <f aca="false">IF(OR($B88=0,J$3=0),0,IF(MOD(4-$D88,7)&lt;Inputs!$B$6,0,1))</f>
        <v>0</v>
      </c>
      <c r="K88" s="0" t="n">
        <f aca="false">IF(OR($B88=0,K$3=0),0,IF(MOD(5-$D88,7)&lt;Inputs!$B$6,0,1))</f>
        <v>0</v>
      </c>
      <c r="L88" s="0" t="n">
        <f aca="false">IF(OR($B88=0,L$3=0),0,IF(MOD(6-$D88,7)&lt;Inputs!$B$6,0,1))</f>
        <v>0</v>
      </c>
      <c r="M88" s="0" t="n">
        <f aca="false">SUM(F$6:F88)</f>
        <v>7</v>
      </c>
      <c r="N88" s="0" t="n">
        <f aca="false">SUM(G$6:G88)</f>
        <v>7</v>
      </c>
      <c r="O88" s="0" t="n">
        <f aca="false">SUM(H$6:H88)</f>
        <v>8</v>
      </c>
      <c r="P88" s="0" t="n">
        <f aca="false">SUM(I$6:I88)</f>
        <v>7</v>
      </c>
      <c r="Q88" s="0" t="n">
        <f aca="false">SUM(J$6:J88)</f>
        <v>8</v>
      </c>
      <c r="R88" s="0" t="n">
        <f aca="false">SUM(K$6:K88)</f>
        <v>7</v>
      </c>
      <c r="S88" s="0" t="n">
        <f aca="false">SUM(L$6:L88)</f>
        <v>6</v>
      </c>
      <c r="T88" s="18" t="n">
        <f aca="false">IF(F88=0,0,IF(Inputs!$D105="Open",F$1,IF(Inputs!$D105="Close",ROUND(F$2*1440-F$3*60,0)/1440,IF(OR(INT((M88-1)/Inputs!$B$7)=0,(INT((M$3-1-MOD(M88-1,Inputs!$B$7))/Inputs!$B$7)+1)&lt;=1),F$1,IF(INT((M88-1)/Inputs!$B$7)&gt;=(INT((M$3-1-MOD(M88-1,Inputs!$B$7))/Inputs!$B$7)+1)-1,ROUND(F$2*1440-F$3*60,0)/1440,MAX(F$1,MIN(ROUND(F$2*1440-F$3*60,0)/1440,ROUND((F$1+INT((M88-1)/Inputs!$B$7)/((INT((M$3-1-MOD(M88-1,Inputs!$B$7))/Inputs!$B$7)+1)-1)*((ROUND(F$2*1440-F$3*60,0)/1440)-F$1))*96,0)/96)))))))</f>
        <v>0</v>
      </c>
      <c r="U88" s="18" t="n">
        <f aca="false">IF(G88=0,0,IF(Inputs!$D105="Open",G$1,IF(Inputs!$D105="Close",ROUND(G$2*1440-G$3*60,0)/1440,IF(OR(INT((N88-1)/Inputs!$B$7)=0,(INT((N$3-1-MOD(N88-1,Inputs!$B$7))/Inputs!$B$7)+1)&lt;=1),G$1,IF(INT((N88-1)/Inputs!$B$7)&gt;=(INT((N$3-1-MOD(N88-1,Inputs!$B$7))/Inputs!$B$7)+1)-1,ROUND(G$2*1440-G$3*60,0)/1440,MAX(G$1,MIN(ROUND(G$2*1440-G$3*60,0)/1440,ROUND((G$1+INT((N88-1)/Inputs!$B$7)/((INT((N$3-1-MOD(N88-1,Inputs!$B$7))/Inputs!$B$7)+1)-1)*((ROUND(G$2*1440-G$3*60,0)/1440)-G$1))*96,0)/96)))))))</f>
        <v>0</v>
      </c>
      <c r="V88" s="18" t="n">
        <f aca="false">IF(H88=0,0,IF(Inputs!$D105="Open",H$1,IF(Inputs!$D105="Close",ROUND(H$2*1440-H$3*60,0)/1440,IF(OR(INT((O88-1)/Inputs!$B$7)=0,(INT((O$3-1-MOD(O88-1,Inputs!$B$7))/Inputs!$B$7)+1)&lt;=1),H$1,IF(INT((O88-1)/Inputs!$B$7)&gt;=(INT((O$3-1-MOD(O88-1,Inputs!$B$7))/Inputs!$B$7)+1)-1,ROUND(H$2*1440-H$3*60,0)/1440,MAX(H$1,MIN(ROUND(H$2*1440-H$3*60,0)/1440,ROUND((H$1+INT((O88-1)/Inputs!$B$7)/((INT((O$3-1-MOD(O88-1,Inputs!$B$7))/Inputs!$B$7)+1)-1)*((ROUND(H$2*1440-H$3*60,0)/1440)-H$1))*96,0)/96)))))))</f>
        <v>0</v>
      </c>
      <c r="W88" s="18" t="n">
        <f aca="false">IF(I88=0,0,IF(Inputs!$D105="Open",I$1,IF(Inputs!$D105="Close",ROUND(I$2*1440-I$3*60,0)/1440,IF(OR(INT((P88-1)/Inputs!$B$7)=0,(INT((P$3-1-MOD(P88-1,Inputs!$B$7))/Inputs!$B$7)+1)&lt;=1),I$1,IF(INT((P88-1)/Inputs!$B$7)&gt;=(INT((P$3-1-MOD(P88-1,Inputs!$B$7))/Inputs!$B$7)+1)-1,ROUND(I$2*1440-I$3*60,0)/1440,MAX(I$1,MIN(ROUND(I$2*1440-I$3*60,0)/1440,ROUND((I$1+INT((P88-1)/Inputs!$B$7)/((INT((P$3-1-MOD(P88-1,Inputs!$B$7))/Inputs!$B$7)+1)-1)*((ROUND(I$2*1440-I$3*60,0)/1440)-I$1))*96,0)/96)))))))</f>
        <v>0</v>
      </c>
      <c r="X88" s="18" t="n">
        <f aca="false">IF(J88=0,0,IF(Inputs!$D105="Open",J$1,IF(Inputs!$D105="Close",ROUND(J$2*1440-J$3*60,0)/1440,IF(OR(INT((Q88-1)/Inputs!$B$7)=0,(INT((Q$3-1-MOD(Q88-1,Inputs!$B$7))/Inputs!$B$7)+1)&lt;=1),J$1,IF(INT((Q88-1)/Inputs!$B$7)&gt;=(INT((Q$3-1-MOD(Q88-1,Inputs!$B$7))/Inputs!$B$7)+1)-1,ROUND(J$2*1440-J$3*60,0)/1440,MAX(J$1,MIN(ROUND(J$2*1440-J$3*60,0)/1440,ROUND((J$1+INT((Q88-1)/Inputs!$B$7)/((INT((Q$3-1-MOD(Q88-1,Inputs!$B$7))/Inputs!$B$7)+1)-1)*((ROUND(J$2*1440-J$3*60,0)/1440)-J$1))*96,0)/96)))))))</f>
        <v>0</v>
      </c>
      <c r="Y88" s="18" t="n">
        <f aca="false">IF(K88=0,0,IF(Inputs!$D105="Open",K$1,IF(Inputs!$D105="Close",ROUND(K$2*1440-K$3*60,0)/1440,IF(OR(INT((R88-1)/Inputs!$B$7)=0,(INT((R$3-1-MOD(R88-1,Inputs!$B$7))/Inputs!$B$7)+1)&lt;=1),K$1,IF(INT((R88-1)/Inputs!$B$7)&gt;=(INT((R$3-1-MOD(R88-1,Inputs!$B$7))/Inputs!$B$7)+1)-1,ROUND(K$2*1440-K$3*60,0)/1440,MAX(K$1,MIN(ROUND(K$2*1440-K$3*60,0)/1440,ROUND((K$1+INT((R88-1)/Inputs!$B$7)/((INT((R$3-1-MOD(R88-1,Inputs!$B$7))/Inputs!$B$7)+1)-1)*((ROUND(K$2*1440-K$3*60,0)/1440)-K$1))*96,0)/96)))))))</f>
        <v>0</v>
      </c>
      <c r="Z88" s="18" t="n">
        <f aca="false">IF(L88=0,0,IF(Inputs!$D105="Open",L$1,IF(Inputs!$D105="Close",ROUND(L$2*1440-L$3*60,0)/1440,IF(OR(INT((S88-1)/Inputs!$B$7)=0,(INT((S$3-1-MOD(S88-1,Inputs!$B$7))/Inputs!$B$7)+1)&lt;=1),L$1,IF(INT((S88-1)/Inputs!$B$7)&gt;=(INT((S$3-1-MOD(S88-1,Inputs!$B$7))/Inputs!$B$7)+1)-1,ROUND(L$2*1440-L$3*60,0)/1440,MAX(L$1,MIN(ROUND(L$2*1440-L$3*60,0)/1440,ROUND((L$1+INT((S88-1)/Inputs!$B$7)/((INT((S$3-1-MOD(S88-1,Inputs!$B$7))/Inputs!$B$7)+1)-1)*((ROUND(L$2*1440-L$3*60,0)/1440)-L$1))*96,0)/96)))))))</f>
        <v>0</v>
      </c>
      <c r="AA88" s="18" t="n">
        <f aca="false">IF(F88=0,0,ROUND(T88*1440+F$3*60,0)/1440)</f>
        <v>0</v>
      </c>
      <c r="AB88" s="18" t="n">
        <f aca="false">IF(G88=0,0,ROUND(U88*1440+G$3*60,0)/1440)</f>
        <v>0</v>
      </c>
      <c r="AC88" s="18" t="n">
        <f aca="false">IF(H88=0,0,ROUND(V88*1440+H$3*60,0)/1440)</f>
        <v>0</v>
      </c>
      <c r="AD88" s="18" t="n">
        <f aca="false">IF(I88=0,0,ROUND(W88*1440+I$3*60,0)/1440)</f>
        <v>0</v>
      </c>
      <c r="AE88" s="18" t="n">
        <f aca="false">IF(J88=0,0,ROUND(X88*1440+J$3*60,0)/1440)</f>
        <v>0</v>
      </c>
      <c r="AF88" s="18" t="n">
        <f aca="false">IF(K88=0,0,ROUND(Y88*1440+K$3*60,0)/1440)</f>
        <v>0</v>
      </c>
      <c r="AG88" s="18" t="n">
        <f aca="false">IF(L88=0,0,ROUND(Z88*1440+L$3*60,0)/1440)</f>
        <v>0</v>
      </c>
      <c r="AH88" s="19" t="n">
        <f aca="false">SUMPRODUCT((MOD(AO$1:AU$1-0,7)&lt;Inputs!$B$6)*AO$2:AU$2*(AO87:AU87+1))*100+MOD(0-5,7)</f>
        <v>1602</v>
      </c>
      <c r="AI88" s="19" t="n">
        <f aca="false">SUMPRODUCT((MOD(AO$1:AU$1-1,7)&lt;Inputs!$B$6)*AO$2:AU$2*(AO87:AU87+1))*100+MOD(1-5,7)</f>
        <v>1403</v>
      </c>
      <c r="AJ88" s="19" t="n">
        <f aca="false">SUMPRODUCT((MOD(AO$1:AU$1-2,7)&lt;Inputs!$B$6)*AO$2:AU$2*(AO87:AU87+1))*100+MOD(2-5,7)</f>
        <v>1404</v>
      </c>
      <c r="AK88" s="19" t="n">
        <f aca="false">SUMPRODUCT((MOD(AO$1:AU$1-3,7)&lt;Inputs!$B$6)*AO$2:AU$2*(AO87:AU87+1))*100+MOD(3-5,7)</f>
        <v>1405</v>
      </c>
      <c r="AL88" s="19" t="n">
        <f aca="false">SUMPRODUCT((MOD(AO$1:AU$1-4,7)&lt;Inputs!$B$6)*AO$2:AU$2*(AO87:AU87+1))*100+MOD(4-5,7)</f>
        <v>1406</v>
      </c>
      <c r="AM88" s="19" t="n">
        <f aca="false">SUMPRODUCT((MOD(AO$1:AU$1-5,7)&lt;Inputs!$B$6)*AO$2:AU$2*(AO87:AU87+1))*100+MOD(5-5,7)</f>
        <v>1800</v>
      </c>
      <c r="AN88" s="19" t="n">
        <f aca="false">SUMPRODUCT((MOD(AO$1:AU$1-6,7)&lt;Inputs!$B$6)*AO$2:AU$2*(AO87:AU87+1))*100+MOD(6-5,7)</f>
        <v>1801</v>
      </c>
      <c r="AO88" s="19" t="n">
        <f aca="false">AO87+IF($B88=1,IF(MOD(0-$D88,7)&lt;Inputs!$B$6,1,0),0)</f>
        <v>3</v>
      </c>
      <c r="AP88" s="19" t="n">
        <f aca="false">AP87+IF($B88=1,IF(MOD(1-$D88,7)&lt;Inputs!$B$6,1,0),0)</f>
        <v>3</v>
      </c>
      <c r="AQ88" s="19" t="n">
        <f aca="false">AQ87+IF($B88=1,IF(MOD(2-$D88,7)&lt;Inputs!$B$6,1,0),0)</f>
        <v>2</v>
      </c>
      <c r="AR88" s="19" t="n">
        <f aca="false">AR87+IF($B88=1,IF(MOD(3-$D88,7)&lt;Inputs!$B$6,1,0),0)</f>
        <v>3</v>
      </c>
      <c r="AS88" s="19" t="n">
        <f aca="false">AS87+IF($B88=1,IF(MOD(4-$D88,7)&lt;Inputs!$B$6,1,0),0)</f>
        <v>2</v>
      </c>
      <c r="AT88" s="19" t="n">
        <f aca="false">AT87+IF($B88=1,IF(MOD(5-$D88,7)&lt;Inputs!$B$6,1,0),0)</f>
        <v>3</v>
      </c>
      <c r="AU88" s="19" t="n">
        <f aca="false">AU87+IF($B88=1,IF(MOD(6-$D88,7)&lt;Inputs!$B$6,1,0),0)</f>
        <v>4</v>
      </c>
    </row>
    <row r="89" customFormat="false" ht="15" hidden="false" customHeight="false" outlineLevel="0" collapsed="false">
      <c r="A89" s="0" t="n">
        <v>84</v>
      </c>
      <c r="B89" s="0" t="n">
        <f aca="false">IF(A89&lt;=Inputs!$B$3,1,0)</f>
        <v>0</v>
      </c>
      <c r="C89" s="0" t="n">
        <f aca="false">MOD(5+MOD(A89-1,7),7)</f>
        <v>4</v>
      </c>
      <c r="D89" s="0" t="n">
        <f aca="false">IF(Inputs!C106&lt;&gt;"",MATCH(Inputs!C106,Inputs!$A$11:$A$17,0)-1,IF(B89=0,0,MATCH(MIN(AH89:AN89),AH89:AN89,0)-1))</f>
        <v>0</v>
      </c>
      <c r="F89" s="0" t="n">
        <f aca="false">IF(OR($B89=0,F$3=0),0,IF(MOD(0-$D89,7)&lt;Inputs!$B$6,0,1))</f>
        <v>0</v>
      </c>
      <c r="G89" s="0" t="n">
        <f aca="false">IF(OR($B89=0,G$3=0),0,IF(MOD(1-$D89,7)&lt;Inputs!$B$6,0,1))</f>
        <v>0</v>
      </c>
      <c r="H89" s="0" t="n">
        <f aca="false">IF(OR($B89=0,H$3=0),0,IF(MOD(2-$D89,7)&lt;Inputs!$B$6,0,1))</f>
        <v>0</v>
      </c>
      <c r="I89" s="0" t="n">
        <f aca="false">IF(OR($B89=0,I$3=0),0,IF(MOD(3-$D89,7)&lt;Inputs!$B$6,0,1))</f>
        <v>0</v>
      </c>
      <c r="J89" s="0" t="n">
        <f aca="false">IF(OR($B89=0,J$3=0),0,IF(MOD(4-$D89,7)&lt;Inputs!$B$6,0,1))</f>
        <v>0</v>
      </c>
      <c r="K89" s="0" t="n">
        <f aca="false">IF(OR($B89=0,K$3=0),0,IF(MOD(5-$D89,7)&lt;Inputs!$B$6,0,1))</f>
        <v>0</v>
      </c>
      <c r="L89" s="0" t="n">
        <f aca="false">IF(OR($B89=0,L$3=0),0,IF(MOD(6-$D89,7)&lt;Inputs!$B$6,0,1))</f>
        <v>0</v>
      </c>
      <c r="M89" s="0" t="n">
        <f aca="false">SUM(F$6:F89)</f>
        <v>7</v>
      </c>
      <c r="N89" s="0" t="n">
        <f aca="false">SUM(G$6:G89)</f>
        <v>7</v>
      </c>
      <c r="O89" s="0" t="n">
        <f aca="false">SUM(H$6:H89)</f>
        <v>8</v>
      </c>
      <c r="P89" s="0" t="n">
        <f aca="false">SUM(I$6:I89)</f>
        <v>7</v>
      </c>
      <c r="Q89" s="0" t="n">
        <f aca="false">SUM(J$6:J89)</f>
        <v>8</v>
      </c>
      <c r="R89" s="0" t="n">
        <f aca="false">SUM(K$6:K89)</f>
        <v>7</v>
      </c>
      <c r="S89" s="0" t="n">
        <f aca="false">SUM(L$6:L89)</f>
        <v>6</v>
      </c>
      <c r="T89" s="18" t="n">
        <f aca="false">IF(F89=0,0,IF(Inputs!$D106="Open",F$1,IF(Inputs!$D106="Close",ROUND(F$2*1440-F$3*60,0)/1440,IF(OR(INT((M89-1)/Inputs!$B$7)=0,(INT((M$3-1-MOD(M89-1,Inputs!$B$7))/Inputs!$B$7)+1)&lt;=1),F$1,IF(INT((M89-1)/Inputs!$B$7)&gt;=(INT((M$3-1-MOD(M89-1,Inputs!$B$7))/Inputs!$B$7)+1)-1,ROUND(F$2*1440-F$3*60,0)/1440,MAX(F$1,MIN(ROUND(F$2*1440-F$3*60,0)/1440,ROUND((F$1+INT((M89-1)/Inputs!$B$7)/((INT((M$3-1-MOD(M89-1,Inputs!$B$7))/Inputs!$B$7)+1)-1)*((ROUND(F$2*1440-F$3*60,0)/1440)-F$1))*96,0)/96)))))))</f>
        <v>0</v>
      </c>
      <c r="U89" s="18" t="n">
        <f aca="false">IF(G89=0,0,IF(Inputs!$D106="Open",G$1,IF(Inputs!$D106="Close",ROUND(G$2*1440-G$3*60,0)/1440,IF(OR(INT((N89-1)/Inputs!$B$7)=0,(INT((N$3-1-MOD(N89-1,Inputs!$B$7))/Inputs!$B$7)+1)&lt;=1),G$1,IF(INT((N89-1)/Inputs!$B$7)&gt;=(INT((N$3-1-MOD(N89-1,Inputs!$B$7))/Inputs!$B$7)+1)-1,ROUND(G$2*1440-G$3*60,0)/1440,MAX(G$1,MIN(ROUND(G$2*1440-G$3*60,0)/1440,ROUND((G$1+INT((N89-1)/Inputs!$B$7)/((INT((N$3-1-MOD(N89-1,Inputs!$B$7))/Inputs!$B$7)+1)-1)*((ROUND(G$2*1440-G$3*60,0)/1440)-G$1))*96,0)/96)))))))</f>
        <v>0</v>
      </c>
      <c r="V89" s="18" t="n">
        <f aca="false">IF(H89=0,0,IF(Inputs!$D106="Open",H$1,IF(Inputs!$D106="Close",ROUND(H$2*1440-H$3*60,0)/1440,IF(OR(INT((O89-1)/Inputs!$B$7)=0,(INT((O$3-1-MOD(O89-1,Inputs!$B$7))/Inputs!$B$7)+1)&lt;=1),H$1,IF(INT((O89-1)/Inputs!$B$7)&gt;=(INT((O$3-1-MOD(O89-1,Inputs!$B$7))/Inputs!$B$7)+1)-1,ROUND(H$2*1440-H$3*60,0)/1440,MAX(H$1,MIN(ROUND(H$2*1440-H$3*60,0)/1440,ROUND((H$1+INT((O89-1)/Inputs!$B$7)/((INT((O$3-1-MOD(O89-1,Inputs!$B$7))/Inputs!$B$7)+1)-1)*((ROUND(H$2*1440-H$3*60,0)/1440)-H$1))*96,0)/96)))))))</f>
        <v>0</v>
      </c>
      <c r="W89" s="18" t="n">
        <f aca="false">IF(I89=0,0,IF(Inputs!$D106="Open",I$1,IF(Inputs!$D106="Close",ROUND(I$2*1440-I$3*60,0)/1440,IF(OR(INT((P89-1)/Inputs!$B$7)=0,(INT((P$3-1-MOD(P89-1,Inputs!$B$7))/Inputs!$B$7)+1)&lt;=1),I$1,IF(INT((P89-1)/Inputs!$B$7)&gt;=(INT((P$3-1-MOD(P89-1,Inputs!$B$7))/Inputs!$B$7)+1)-1,ROUND(I$2*1440-I$3*60,0)/1440,MAX(I$1,MIN(ROUND(I$2*1440-I$3*60,0)/1440,ROUND((I$1+INT((P89-1)/Inputs!$B$7)/((INT((P$3-1-MOD(P89-1,Inputs!$B$7))/Inputs!$B$7)+1)-1)*((ROUND(I$2*1440-I$3*60,0)/1440)-I$1))*96,0)/96)))))))</f>
        <v>0</v>
      </c>
      <c r="X89" s="18" t="n">
        <f aca="false">IF(J89=0,0,IF(Inputs!$D106="Open",J$1,IF(Inputs!$D106="Close",ROUND(J$2*1440-J$3*60,0)/1440,IF(OR(INT((Q89-1)/Inputs!$B$7)=0,(INT((Q$3-1-MOD(Q89-1,Inputs!$B$7))/Inputs!$B$7)+1)&lt;=1),J$1,IF(INT((Q89-1)/Inputs!$B$7)&gt;=(INT((Q$3-1-MOD(Q89-1,Inputs!$B$7))/Inputs!$B$7)+1)-1,ROUND(J$2*1440-J$3*60,0)/1440,MAX(J$1,MIN(ROUND(J$2*1440-J$3*60,0)/1440,ROUND((J$1+INT((Q89-1)/Inputs!$B$7)/((INT((Q$3-1-MOD(Q89-1,Inputs!$B$7))/Inputs!$B$7)+1)-1)*((ROUND(J$2*1440-J$3*60,0)/1440)-J$1))*96,0)/96)))))))</f>
        <v>0</v>
      </c>
      <c r="Y89" s="18" t="n">
        <f aca="false">IF(K89=0,0,IF(Inputs!$D106="Open",K$1,IF(Inputs!$D106="Close",ROUND(K$2*1440-K$3*60,0)/1440,IF(OR(INT((R89-1)/Inputs!$B$7)=0,(INT((R$3-1-MOD(R89-1,Inputs!$B$7))/Inputs!$B$7)+1)&lt;=1),K$1,IF(INT((R89-1)/Inputs!$B$7)&gt;=(INT((R$3-1-MOD(R89-1,Inputs!$B$7))/Inputs!$B$7)+1)-1,ROUND(K$2*1440-K$3*60,0)/1440,MAX(K$1,MIN(ROUND(K$2*1440-K$3*60,0)/1440,ROUND((K$1+INT((R89-1)/Inputs!$B$7)/((INT((R$3-1-MOD(R89-1,Inputs!$B$7))/Inputs!$B$7)+1)-1)*((ROUND(K$2*1440-K$3*60,0)/1440)-K$1))*96,0)/96)))))))</f>
        <v>0</v>
      </c>
      <c r="Z89" s="18" t="n">
        <f aca="false">IF(L89=0,0,IF(Inputs!$D106="Open",L$1,IF(Inputs!$D106="Close",ROUND(L$2*1440-L$3*60,0)/1440,IF(OR(INT((S89-1)/Inputs!$B$7)=0,(INT((S$3-1-MOD(S89-1,Inputs!$B$7))/Inputs!$B$7)+1)&lt;=1),L$1,IF(INT((S89-1)/Inputs!$B$7)&gt;=(INT((S$3-1-MOD(S89-1,Inputs!$B$7))/Inputs!$B$7)+1)-1,ROUND(L$2*1440-L$3*60,0)/1440,MAX(L$1,MIN(ROUND(L$2*1440-L$3*60,0)/1440,ROUND((L$1+INT((S89-1)/Inputs!$B$7)/((INT((S$3-1-MOD(S89-1,Inputs!$B$7))/Inputs!$B$7)+1)-1)*((ROUND(L$2*1440-L$3*60,0)/1440)-L$1))*96,0)/96)))))))</f>
        <v>0</v>
      </c>
      <c r="AA89" s="18" t="n">
        <f aca="false">IF(F89=0,0,ROUND(T89*1440+F$3*60,0)/1440)</f>
        <v>0</v>
      </c>
      <c r="AB89" s="18" t="n">
        <f aca="false">IF(G89=0,0,ROUND(U89*1440+G$3*60,0)/1440)</f>
        <v>0</v>
      </c>
      <c r="AC89" s="18" t="n">
        <f aca="false">IF(H89=0,0,ROUND(V89*1440+H$3*60,0)/1440)</f>
        <v>0</v>
      </c>
      <c r="AD89" s="18" t="n">
        <f aca="false">IF(I89=0,0,ROUND(W89*1440+I$3*60,0)/1440)</f>
        <v>0</v>
      </c>
      <c r="AE89" s="18" t="n">
        <f aca="false">IF(J89=0,0,ROUND(X89*1440+J$3*60,0)/1440)</f>
        <v>0</v>
      </c>
      <c r="AF89" s="18" t="n">
        <f aca="false">IF(K89=0,0,ROUND(Y89*1440+K$3*60,0)/1440)</f>
        <v>0</v>
      </c>
      <c r="AG89" s="18" t="n">
        <f aca="false">IF(L89=0,0,ROUND(Z89*1440+L$3*60,0)/1440)</f>
        <v>0</v>
      </c>
      <c r="AH89" s="19" t="n">
        <f aca="false">SUMPRODUCT((MOD(AO$1:AU$1-0,7)&lt;Inputs!$B$6)*AO$2:AU$2*(AO88:AU88+1))*100+MOD(0-5,7)</f>
        <v>1602</v>
      </c>
      <c r="AI89" s="19" t="n">
        <f aca="false">SUMPRODUCT((MOD(AO$1:AU$1-1,7)&lt;Inputs!$B$6)*AO$2:AU$2*(AO88:AU88+1))*100+MOD(1-5,7)</f>
        <v>1403</v>
      </c>
      <c r="AJ89" s="19" t="n">
        <f aca="false">SUMPRODUCT((MOD(AO$1:AU$1-2,7)&lt;Inputs!$B$6)*AO$2:AU$2*(AO88:AU88+1))*100+MOD(2-5,7)</f>
        <v>1404</v>
      </c>
      <c r="AK89" s="19" t="n">
        <f aca="false">SUMPRODUCT((MOD(AO$1:AU$1-3,7)&lt;Inputs!$B$6)*AO$2:AU$2*(AO88:AU88+1))*100+MOD(3-5,7)</f>
        <v>1405</v>
      </c>
      <c r="AL89" s="19" t="n">
        <f aca="false">SUMPRODUCT((MOD(AO$1:AU$1-4,7)&lt;Inputs!$B$6)*AO$2:AU$2*(AO88:AU88+1))*100+MOD(4-5,7)</f>
        <v>1406</v>
      </c>
      <c r="AM89" s="19" t="n">
        <f aca="false">SUMPRODUCT((MOD(AO$1:AU$1-5,7)&lt;Inputs!$B$6)*AO$2:AU$2*(AO88:AU88+1))*100+MOD(5-5,7)</f>
        <v>1800</v>
      </c>
      <c r="AN89" s="19" t="n">
        <f aca="false">SUMPRODUCT((MOD(AO$1:AU$1-6,7)&lt;Inputs!$B$6)*AO$2:AU$2*(AO88:AU88+1))*100+MOD(6-5,7)</f>
        <v>1801</v>
      </c>
      <c r="AO89" s="19" t="n">
        <f aca="false">AO88+IF($B89=1,IF(MOD(0-$D89,7)&lt;Inputs!$B$6,1,0),0)</f>
        <v>3</v>
      </c>
      <c r="AP89" s="19" t="n">
        <f aca="false">AP88+IF($B89=1,IF(MOD(1-$D89,7)&lt;Inputs!$B$6,1,0),0)</f>
        <v>3</v>
      </c>
      <c r="AQ89" s="19" t="n">
        <f aca="false">AQ88+IF($B89=1,IF(MOD(2-$D89,7)&lt;Inputs!$B$6,1,0),0)</f>
        <v>2</v>
      </c>
      <c r="AR89" s="19" t="n">
        <f aca="false">AR88+IF($B89=1,IF(MOD(3-$D89,7)&lt;Inputs!$B$6,1,0),0)</f>
        <v>3</v>
      </c>
      <c r="AS89" s="19" t="n">
        <f aca="false">AS88+IF($B89=1,IF(MOD(4-$D89,7)&lt;Inputs!$B$6,1,0),0)</f>
        <v>2</v>
      </c>
      <c r="AT89" s="19" t="n">
        <f aca="false">AT88+IF($B89=1,IF(MOD(5-$D89,7)&lt;Inputs!$B$6,1,0),0)</f>
        <v>3</v>
      </c>
      <c r="AU89" s="19" t="n">
        <f aca="false">AU88+IF($B89=1,IF(MOD(6-$D89,7)&lt;Inputs!$B$6,1,0),0)</f>
        <v>4</v>
      </c>
    </row>
    <row r="90" customFormat="false" ht="15" hidden="false" customHeight="false" outlineLevel="0" collapsed="false">
      <c r="A90" s="0" t="n">
        <v>85</v>
      </c>
      <c r="B90" s="0" t="n">
        <f aca="false">IF(A90&lt;=Inputs!$B$3,1,0)</f>
        <v>0</v>
      </c>
      <c r="C90" s="0" t="n">
        <f aca="false">MOD(5+MOD(A90-1,7),7)</f>
        <v>5</v>
      </c>
      <c r="D90" s="0" t="n">
        <f aca="false">IF(Inputs!C107&lt;&gt;"",MATCH(Inputs!C107,Inputs!$A$11:$A$17,0)-1,IF(B90=0,0,MATCH(MIN(AH90:AN90),AH90:AN90,0)-1))</f>
        <v>0</v>
      </c>
      <c r="F90" s="0" t="n">
        <f aca="false">IF(OR($B90=0,F$3=0),0,IF(MOD(0-$D90,7)&lt;Inputs!$B$6,0,1))</f>
        <v>0</v>
      </c>
      <c r="G90" s="0" t="n">
        <f aca="false">IF(OR($B90=0,G$3=0),0,IF(MOD(1-$D90,7)&lt;Inputs!$B$6,0,1))</f>
        <v>0</v>
      </c>
      <c r="H90" s="0" t="n">
        <f aca="false">IF(OR($B90=0,H$3=0),0,IF(MOD(2-$D90,7)&lt;Inputs!$B$6,0,1))</f>
        <v>0</v>
      </c>
      <c r="I90" s="0" t="n">
        <f aca="false">IF(OR($B90=0,I$3=0),0,IF(MOD(3-$D90,7)&lt;Inputs!$B$6,0,1))</f>
        <v>0</v>
      </c>
      <c r="J90" s="0" t="n">
        <f aca="false">IF(OR($B90=0,J$3=0),0,IF(MOD(4-$D90,7)&lt;Inputs!$B$6,0,1))</f>
        <v>0</v>
      </c>
      <c r="K90" s="0" t="n">
        <f aca="false">IF(OR($B90=0,K$3=0),0,IF(MOD(5-$D90,7)&lt;Inputs!$B$6,0,1))</f>
        <v>0</v>
      </c>
      <c r="L90" s="0" t="n">
        <f aca="false">IF(OR($B90=0,L$3=0),0,IF(MOD(6-$D90,7)&lt;Inputs!$B$6,0,1))</f>
        <v>0</v>
      </c>
      <c r="M90" s="0" t="n">
        <f aca="false">SUM(F$6:F90)</f>
        <v>7</v>
      </c>
      <c r="N90" s="0" t="n">
        <f aca="false">SUM(G$6:G90)</f>
        <v>7</v>
      </c>
      <c r="O90" s="0" t="n">
        <f aca="false">SUM(H$6:H90)</f>
        <v>8</v>
      </c>
      <c r="P90" s="0" t="n">
        <f aca="false">SUM(I$6:I90)</f>
        <v>7</v>
      </c>
      <c r="Q90" s="0" t="n">
        <f aca="false">SUM(J$6:J90)</f>
        <v>8</v>
      </c>
      <c r="R90" s="0" t="n">
        <f aca="false">SUM(K$6:K90)</f>
        <v>7</v>
      </c>
      <c r="S90" s="0" t="n">
        <f aca="false">SUM(L$6:L90)</f>
        <v>6</v>
      </c>
      <c r="T90" s="18" t="n">
        <f aca="false">IF(F90=0,0,IF(Inputs!$D107="Open",F$1,IF(Inputs!$D107="Close",ROUND(F$2*1440-F$3*60,0)/1440,IF(OR(INT((M90-1)/Inputs!$B$7)=0,(INT((M$3-1-MOD(M90-1,Inputs!$B$7))/Inputs!$B$7)+1)&lt;=1),F$1,IF(INT((M90-1)/Inputs!$B$7)&gt;=(INT((M$3-1-MOD(M90-1,Inputs!$B$7))/Inputs!$B$7)+1)-1,ROUND(F$2*1440-F$3*60,0)/1440,MAX(F$1,MIN(ROUND(F$2*1440-F$3*60,0)/1440,ROUND((F$1+INT((M90-1)/Inputs!$B$7)/((INT((M$3-1-MOD(M90-1,Inputs!$B$7))/Inputs!$B$7)+1)-1)*((ROUND(F$2*1440-F$3*60,0)/1440)-F$1))*96,0)/96)))))))</f>
        <v>0</v>
      </c>
      <c r="U90" s="18" t="n">
        <f aca="false">IF(G90=0,0,IF(Inputs!$D107="Open",G$1,IF(Inputs!$D107="Close",ROUND(G$2*1440-G$3*60,0)/1440,IF(OR(INT((N90-1)/Inputs!$B$7)=0,(INT((N$3-1-MOD(N90-1,Inputs!$B$7))/Inputs!$B$7)+1)&lt;=1),G$1,IF(INT((N90-1)/Inputs!$B$7)&gt;=(INT((N$3-1-MOD(N90-1,Inputs!$B$7))/Inputs!$B$7)+1)-1,ROUND(G$2*1440-G$3*60,0)/1440,MAX(G$1,MIN(ROUND(G$2*1440-G$3*60,0)/1440,ROUND((G$1+INT((N90-1)/Inputs!$B$7)/((INT((N$3-1-MOD(N90-1,Inputs!$B$7))/Inputs!$B$7)+1)-1)*((ROUND(G$2*1440-G$3*60,0)/1440)-G$1))*96,0)/96)))))))</f>
        <v>0</v>
      </c>
      <c r="V90" s="18" t="n">
        <f aca="false">IF(H90=0,0,IF(Inputs!$D107="Open",H$1,IF(Inputs!$D107="Close",ROUND(H$2*1440-H$3*60,0)/1440,IF(OR(INT((O90-1)/Inputs!$B$7)=0,(INT((O$3-1-MOD(O90-1,Inputs!$B$7))/Inputs!$B$7)+1)&lt;=1),H$1,IF(INT((O90-1)/Inputs!$B$7)&gt;=(INT((O$3-1-MOD(O90-1,Inputs!$B$7))/Inputs!$B$7)+1)-1,ROUND(H$2*1440-H$3*60,0)/1440,MAX(H$1,MIN(ROUND(H$2*1440-H$3*60,0)/1440,ROUND((H$1+INT((O90-1)/Inputs!$B$7)/((INT((O$3-1-MOD(O90-1,Inputs!$B$7))/Inputs!$B$7)+1)-1)*((ROUND(H$2*1440-H$3*60,0)/1440)-H$1))*96,0)/96)))))))</f>
        <v>0</v>
      </c>
      <c r="W90" s="18" t="n">
        <f aca="false">IF(I90=0,0,IF(Inputs!$D107="Open",I$1,IF(Inputs!$D107="Close",ROUND(I$2*1440-I$3*60,0)/1440,IF(OR(INT((P90-1)/Inputs!$B$7)=0,(INT((P$3-1-MOD(P90-1,Inputs!$B$7))/Inputs!$B$7)+1)&lt;=1),I$1,IF(INT((P90-1)/Inputs!$B$7)&gt;=(INT((P$3-1-MOD(P90-1,Inputs!$B$7))/Inputs!$B$7)+1)-1,ROUND(I$2*1440-I$3*60,0)/1440,MAX(I$1,MIN(ROUND(I$2*1440-I$3*60,0)/1440,ROUND((I$1+INT((P90-1)/Inputs!$B$7)/((INT((P$3-1-MOD(P90-1,Inputs!$B$7))/Inputs!$B$7)+1)-1)*((ROUND(I$2*1440-I$3*60,0)/1440)-I$1))*96,0)/96)))))))</f>
        <v>0</v>
      </c>
      <c r="X90" s="18" t="n">
        <f aca="false">IF(J90=0,0,IF(Inputs!$D107="Open",J$1,IF(Inputs!$D107="Close",ROUND(J$2*1440-J$3*60,0)/1440,IF(OR(INT((Q90-1)/Inputs!$B$7)=0,(INT((Q$3-1-MOD(Q90-1,Inputs!$B$7))/Inputs!$B$7)+1)&lt;=1),J$1,IF(INT((Q90-1)/Inputs!$B$7)&gt;=(INT((Q$3-1-MOD(Q90-1,Inputs!$B$7))/Inputs!$B$7)+1)-1,ROUND(J$2*1440-J$3*60,0)/1440,MAX(J$1,MIN(ROUND(J$2*1440-J$3*60,0)/1440,ROUND((J$1+INT((Q90-1)/Inputs!$B$7)/((INT((Q$3-1-MOD(Q90-1,Inputs!$B$7))/Inputs!$B$7)+1)-1)*((ROUND(J$2*1440-J$3*60,0)/1440)-J$1))*96,0)/96)))))))</f>
        <v>0</v>
      </c>
      <c r="Y90" s="18" t="n">
        <f aca="false">IF(K90=0,0,IF(Inputs!$D107="Open",K$1,IF(Inputs!$D107="Close",ROUND(K$2*1440-K$3*60,0)/1440,IF(OR(INT((R90-1)/Inputs!$B$7)=0,(INT((R$3-1-MOD(R90-1,Inputs!$B$7))/Inputs!$B$7)+1)&lt;=1),K$1,IF(INT((R90-1)/Inputs!$B$7)&gt;=(INT((R$3-1-MOD(R90-1,Inputs!$B$7))/Inputs!$B$7)+1)-1,ROUND(K$2*1440-K$3*60,0)/1440,MAX(K$1,MIN(ROUND(K$2*1440-K$3*60,0)/1440,ROUND((K$1+INT((R90-1)/Inputs!$B$7)/((INT((R$3-1-MOD(R90-1,Inputs!$B$7))/Inputs!$B$7)+1)-1)*((ROUND(K$2*1440-K$3*60,0)/1440)-K$1))*96,0)/96)))))))</f>
        <v>0</v>
      </c>
      <c r="Z90" s="18" t="n">
        <f aca="false">IF(L90=0,0,IF(Inputs!$D107="Open",L$1,IF(Inputs!$D107="Close",ROUND(L$2*1440-L$3*60,0)/1440,IF(OR(INT((S90-1)/Inputs!$B$7)=0,(INT((S$3-1-MOD(S90-1,Inputs!$B$7))/Inputs!$B$7)+1)&lt;=1),L$1,IF(INT((S90-1)/Inputs!$B$7)&gt;=(INT((S$3-1-MOD(S90-1,Inputs!$B$7))/Inputs!$B$7)+1)-1,ROUND(L$2*1440-L$3*60,0)/1440,MAX(L$1,MIN(ROUND(L$2*1440-L$3*60,0)/1440,ROUND((L$1+INT((S90-1)/Inputs!$B$7)/((INT((S$3-1-MOD(S90-1,Inputs!$B$7))/Inputs!$B$7)+1)-1)*((ROUND(L$2*1440-L$3*60,0)/1440)-L$1))*96,0)/96)))))))</f>
        <v>0</v>
      </c>
      <c r="AA90" s="18" t="n">
        <f aca="false">IF(F90=0,0,ROUND(T90*1440+F$3*60,0)/1440)</f>
        <v>0</v>
      </c>
      <c r="AB90" s="18" t="n">
        <f aca="false">IF(G90=0,0,ROUND(U90*1440+G$3*60,0)/1440)</f>
        <v>0</v>
      </c>
      <c r="AC90" s="18" t="n">
        <f aca="false">IF(H90=0,0,ROUND(V90*1440+H$3*60,0)/1440)</f>
        <v>0</v>
      </c>
      <c r="AD90" s="18" t="n">
        <f aca="false">IF(I90=0,0,ROUND(W90*1440+I$3*60,0)/1440)</f>
        <v>0</v>
      </c>
      <c r="AE90" s="18" t="n">
        <f aca="false">IF(J90=0,0,ROUND(X90*1440+J$3*60,0)/1440)</f>
        <v>0</v>
      </c>
      <c r="AF90" s="18" t="n">
        <f aca="false">IF(K90=0,0,ROUND(Y90*1440+K$3*60,0)/1440)</f>
        <v>0</v>
      </c>
      <c r="AG90" s="18" t="n">
        <f aca="false">IF(L90=0,0,ROUND(Z90*1440+L$3*60,0)/1440)</f>
        <v>0</v>
      </c>
      <c r="AH90" s="19" t="n">
        <f aca="false">SUMPRODUCT((MOD(AO$1:AU$1-0,7)&lt;Inputs!$B$6)*AO$2:AU$2*(AO89:AU89+1))*100+MOD(0-5,7)</f>
        <v>1602</v>
      </c>
      <c r="AI90" s="19" t="n">
        <f aca="false">SUMPRODUCT((MOD(AO$1:AU$1-1,7)&lt;Inputs!$B$6)*AO$2:AU$2*(AO89:AU89+1))*100+MOD(1-5,7)</f>
        <v>1403</v>
      </c>
      <c r="AJ90" s="19" t="n">
        <f aca="false">SUMPRODUCT((MOD(AO$1:AU$1-2,7)&lt;Inputs!$B$6)*AO$2:AU$2*(AO89:AU89+1))*100+MOD(2-5,7)</f>
        <v>1404</v>
      </c>
      <c r="AK90" s="19" t="n">
        <f aca="false">SUMPRODUCT((MOD(AO$1:AU$1-3,7)&lt;Inputs!$B$6)*AO$2:AU$2*(AO89:AU89+1))*100+MOD(3-5,7)</f>
        <v>1405</v>
      </c>
      <c r="AL90" s="19" t="n">
        <f aca="false">SUMPRODUCT((MOD(AO$1:AU$1-4,7)&lt;Inputs!$B$6)*AO$2:AU$2*(AO89:AU89+1))*100+MOD(4-5,7)</f>
        <v>1406</v>
      </c>
      <c r="AM90" s="19" t="n">
        <f aca="false">SUMPRODUCT((MOD(AO$1:AU$1-5,7)&lt;Inputs!$B$6)*AO$2:AU$2*(AO89:AU89+1))*100+MOD(5-5,7)</f>
        <v>1800</v>
      </c>
      <c r="AN90" s="19" t="n">
        <f aca="false">SUMPRODUCT((MOD(AO$1:AU$1-6,7)&lt;Inputs!$B$6)*AO$2:AU$2*(AO89:AU89+1))*100+MOD(6-5,7)</f>
        <v>1801</v>
      </c>
      <c r="AO90" s="19" t="n">
        <f aca="false">AO89+IF($B90=1,IF(MOD(0-$D90,7)&lt;Inputs!$B$6,1,0),0)</f>
        <v>3</v>
      </c>
      <c r="AP90" s="19" t="n">
        <f aca="false">AP89+IF($B90=1,IF(MOD(1-$D90,7)&lt;Inputs!$B$6,1,0),0)</f>
        <v>3</v>
      </c>
      <c r="AQ90" s="19" t="n">
        <f aca="false">AQ89+IF($B90=1,IF(MOD(2-$D90,7)&lt;Inputs!$B$6,1,0),0)</f>
        <v>2</v>
      </c>
      <c r="AR90" s="19" t="n">
        <f aca="false">AR89+IF($B90=1,IF(MOD(3-$D90,7)&lt;Inputs!$B$6,1,0),0)</f>
        <v>3</v>
      </c>
      <c r="AS90" s="19" t="n">
        <f aca="false">AS89+IF($B90=1,IF(MOD(4-$D90,7)&lt;Inputs!$B$6,1,0),0)</f>
        <v>2</v>
      </c>
      <c r="AT90" s="19" t="n">
        <f aca="false">AT89+IF($B90=1,IF(MOD(5-$D90,7)&lt;Inputs!$B$6,1,0),0)</f>
        <v>3</v>
      </c>
      <c r="AU90" s="19" t="n">
        <f aca="false">AU89+IF($B90=1,IF(MOD(6-$D90,7)&lt;Inputs!$B$6,1,0),0)</f>
        <v>4</v>
      </c>
    </row>
    <row r="91" customFormat="false" ht="15" hidden="false" customHeight="false" outlineLevel="0" collapsed="false">
      <c r="A91" s="0" t="n">
        <v>86</v>
      </c>
      <c r="B91" s="0" t="n">
        <f aca="false">IF(A91&lt;=Inputs!$B$3,1,0)</f>
        <v>0</v>
      </c>
      <c r="C91" s="0" t="n">
        <f aca="false">MOD(5+MOD(A91-1,7),7)</f>
        <v>6</v>
      </c>
      <c r="D91" s="0" t="n">
        <f aca="false">IF(Inputs!C108&lt;&gt;"",MATCH(Inputs!C108,Inputs!$A$11:$A$17,0)-1,IF(B91=0,0,MATCH(MIN(AH91:AN91),AH91:AN91,0)-1))</f>
        <v>0</v>
      </c>
      <c r="F91" s="0" t="n">
        <f aca="false">IF(OR($B91=0,F$3=0),0,IF(MOD(0-$D91,7)&lt;Inputs!$B$6,0,1))</f>
        <v>0</v>
      </c>
      <c r="G91" s="0" t="n">
        <f aca="false">IF(OR($B91=0,G$3=0),0,IF(MOD(1-$D91,7)&lt;Inputs!$B$6,0,1))</f>
        <v>0</v>
      </c>
      <c r="H91" s="0" t="n">
        <f aca="false">IF(OR($B91=0,H$3=0),0,IF(MOD(2-$D91,7)&lt;Inputs!$B$6,0,1))</f>
        <v>0</v>
      </c>
      <c r="I91" s="0" t="n">
        <f aca="false">IF(OR($B91=0,I$3=0),0,IF(MOD(3-$D91,7)&lt;Inputs!$B$6,0,1))</f>
        <v>0</v>
      </c>
      <c r="J91" s="0" t="n">
        <f aca="false">IF(OR($B91=0,J$3=0),0,IF(MOD(4-$D91,7)&lt;Inputs!$B$6,0,1))</f>
        <v>0</v>
      </c>
      <c r="K91" s="0" t="n">
        <f aca="false">IF(OR($B91=0,K$3=0),0,IF(MOD(5-$D91,7)&lt;Inputs!$B$6,0,1))</f>
        <v>0</v>
      </c>
      <c r="L91" s="0" t="n">
        <f aca="false">IF(OR($B91=0,L$3=0),0,IF(MOD(6-$D91,7)&lt;Inputs!$B$6,0,1))</f>
        <v>0</v>
      </c>
      <c r="M91" s="0" t="n">
        <f aca="false">SUM(F$6:F91)</f>
        <v>7</v>
      </c>
      <c r="N91" s="0" t="n">
        <f aca="false">SUM(G$6:G91)</f>
        <v>7</v>
      </c>
      <c r="O91" s="0" t="n">
        <f aca="false">SUM(H$6:H91)</f>
        <v>8</v>
      </c>
      <c r="P91" s="0" t="n">
        <f aca="false">SUM(I$6:I91)</f>
        <v>7</v>
      </c>
      <c r="Q91" s="0" t="n">
        <f aca="false">SUM(J$6:J91)</f>
        <v>8</v>
      </c>
      <c r="R91" s="0" t="n">
        <f aca="false">SUM(K$6:K91)</f>
        <v>7</v>
      </c>
      <c r="S91" s="0" t="n">
        <f aca="false">SUM(L$6:L91)</f>
        <v>6</v>
      </c>
      <c r="T91" s="18" t="n">
        <f aca="false">IF(F91=0,0,IF(Inputs!$D108="Open",F$1,IF(Inputs!$D108="Close",ROUND(F$2*1440-F$3*60,0)/1440,IF(OR(INT((M91-1)/Inputs!$B$7)=0,(INT((M$3-1-MOD(M91-1,Inputs!$B$7))/Inputs!$B$7)+1)&lt;=1),F$1,IF(INT((M91-1)/Inputs!$B$7)&gt;=(INT((M$3-1-MOD(M91-1,Inputs!$B$7))/Inputs!$B$7)+1)-1,ROUND(F$2*1440-F$3*60,0)/1440,MAX(F$1,MIN(ROUND(F$2*1440-F$3*60,0)/1440,ROUND((F$1+INT((M91-1)/Inputs!$B$7)/((INT((M$3-1-MOD(M91-1,Inputs!$B$7))/Inputs!$B$7)+1)-1)*((ROUND(F$2*1440-F$3*60,0)/1440)-F$1))*96,0)/96)))))))</f>
        <v>0</v>
      </c>
      <c r="U91" s="18" t="n">
        <f aca="false">IF(G91=0,0,IF(Inputs!$D108="Open",G$1,IF(Inputs!$D108="Close",ROUND(G$2*1440-G$3*60,0)/1440,IF(OR(INT((N91-1)/Inputs!$B$7)=0,(INT((N$3-1-MOD(N91-1,Inputs!$B$7))/Inputs!$B$7)+1)&lt;=1),G$1,IF(INT((N91-1)/Inputs!$B$7)&gt;=(INT((N$3-1-MOD(N91-1,Inputs!$B$7))/Inputs!$B$7)+1)-1,ROUND(G$2*1440-G$3*60,0)/1440,MAX(G$1,MIN(ROUND(G$2*1440-G$3*60,0)/1440,ROUND((G$1+INT((N91-1)/Inputs!$B$7)/((INT((N$3-1-MOD(N91-1,Inputs!$B$7))/Inputs!$B$7)+1)-1)*((ROUND(G$2*1440-G$3*60,0)/1440)-G$1))*96,0)/96)))))))</f>
        <v>0</v>
      </c>
      <c r="V91" s="18" t="n">
        <f aca="false">IF(H91=0,0,IF(Inputs!$D108="Open",H$1,IF(Inputs!$D108="Close",ROUND(H$2*1440-H$3*60,0)/1440,IF(OR(INT((O91-1)/Inputs!$B$7)=0,(INT((O$3-1-MOD(O91-1,Inputs!$B$7))/Inputs!$B$7)+1)&lt;=1),H$1,IF(INT((O91-1)/Inputs!$B$7)&gt;=(INT((O$3-1-MOD(O91-1,Inputs!$B$7))/Inputs!$B$7)+1)-1,ROUND(H$2*1440-H$3*60,0)/1440,MAX(H$1,MIN(ROUND(H$2*1440-H$3*60,0)/1440,ROUND((H$1+INT((O91-1)/Inputs!$B$7)/((INT((O$3-1-MOD(O91-1,Inputs!$B$7))/Inputs!$B$7)+1)-1)*((ROUND(H$2*1440-H$3*60,0)/1440)-H$1))*96,0)/96)))))))</f>
        <v>0</v>
      </c>
      <c r="W91" s="18" t="n">
        <f aca="false">IF(I91=0,0,IF(Inputs!$D108="Open",I$1,IF(Inputs!$D108="Close",ROUND(I$2*1440-I$3*60,0)/1440,IF(OR(INT((P91-1)/Inputs!$B$7)=0,(INT((P$3-1-MOD(P91-1,Inputs!$B$7))/Inputs!$B$7)+1)&lt;=1),I$1,IF(INT((P91-1)/Inputs!$B$7)&gt;=(INT((P$3-1-MOD(P91-1,Inputs!$B$7))/Inputs!$B$7)+1)-1,ROUND(I$2*1440-I$3*60,0)/1440,MAX(I$1,MIN(ROUND(I$2*1440-I$3*60,0)/1440,ROUND((I$1+INT((P91-1)/Inputs!$B$7)/((INT((P$3-1-MOD(P91-1,Inputs!$B$7))/Inputs!$B$7)+1)-1)*((ROUND(I$2*1440-I$3*60,0)/1440)-I$1))*96,0)/96)))))))</f>
        <v>0</v>
      </c>
      <c r="X91" s="18" t="n">
        <f aca="false">IF(J91=0,0,IF(Inputs!$D108="Open",J$1,IF(Inputs!$D108="Close",ROUND(J$2*1440-J$3*60,0)/1440,IF(OR(INT((Q91-1)/Inputs!$B$7)=0,(INT((Q$3-1-MOD(Q91-1,Inputs!$B$7))/Inputs!$B$7)+1)&lt;=1),J$1,IF(INT((Q91-1)/Inputs!$B$7)&gt;=(INT((Q$3-1-MOD(Q91-1,Inputs!$B$7))/Inputs!$B$7)+1)-1,ROUND(J$2*1440-J$3*60,0)/1440,MAX(J$1,MIN(ROUND(J$2*1440-J$3*60,0)/1440,ROUND((J$1+INT((Q91-1)/Inputs!$B$7)/((INT((Q$3-1-MOD(Q91-1,Inputs!$B$7))/Inputs!$B$7)+1)-1)*((ROUND(J$2*1440-J$3*60,0)/1440)-J$1))*96,0)/96)))))))</f>
        <v>0</v>
      </c>
      <c r="Y91" s="18" t="n">
        <f aca="false">IF(K91=0,0,IF(Inputs!$D108="Open",K$1,IF(Inputs!$D108="Close",ROUND(K$2*1440-K$3*60,0)/1440,IF(OR(INT((R91-1)/Inputs!$B$7)=0,(INT((R$3-1-MOD(R91-1,Inputs!$B$7))/Inputs!$B$7)+1)&lt;=1),K$1,IF(INT((R91-1)/Inputs!$B$7)&gt;=(INT((R$3-1-MOD(R91-1,Inputs!$B$7))/Inputs!$B$7)+1)-1,ROUND(K$2*1440-K$3*60,0)/1440,MAX(K$1,MIN(ROUND(K$2*1440-K$3*60,0)/1440,ROUND((K$1+INT((R91-1)/Inputs!$B$7)/((INT((R$3-1-MOD(R91-1,Inputs!$B$7))/Inputs!$B$7)+1)-1)*((ROUND(K$2*1440-K$3*60,0)/1440)-K$1))*96,0)/96)))))))</f>
        <v>0</v>
      </c>
      <c r="Z91" s="18" t="n">
        <f aca="false">IF(L91=0,0,IF(Inputs!$D108="Open",L$1,IF(Inputs!$D108="Close",ROUND(L$2*1440-L$3*60,0)/1440,IF(OR(INT((S91-1)/Inputs!$B$7)=0,(INT((S$3-1-MOD(S91-1,Inputs!$B$7))/Inputs!$B$7)+1)&lt;=1),L$1,IF(INT((S91-1)/Inputs!$B$7)&gt;=(INT((S$3-1-MOD(S91-1,Inputs!$B$7))/Inputs!$B$7)+1)-1,ROUND(L$2*1440-L$3*60,0)/1440,MAX(L$1,MIN(ROUND(L$2*1440-L$3*60,0)/1440,ROUND((L$1+INT((S91-1)/Inputs!$B$7)/((INT((S$3-1-MOD(S91-1,Inputs!$B$7))/Inputs!$B$7)+1)-1)*((ROUND(L$2*1440-L$3*60,0)/1440)-L$1))*96,0)/96)))))))</f>
        <v>0</v>
      </c>
      <c r="AA91" s="18" t="n">
        <f aca="false">IF(F91=0,0,ROUND(T91*1440+F$3*60,0)/1440)</f>
        <v>0</v>
      </c>
      <c r="AB91" s="18" t="n">
        <f aca="false">IF(G91=0,0,ROUND(U91*1440+G$3*60,0)/1440)</f>
        <v>0</v>
      </c>
      <c r="AC91" s="18" t="n">
        <f aca="false">IF(H91=0,0,ROUND(V91*1440+H$3*60,0)/1440)</f>
        <v>0</v>
      </c>
      <c r="AD91" s="18" t="n">
        <f aca="false">IF(I91=0,0,ROUND(W91*1440+I$3*60,0)/1440)</f>
        <v>0</v>
      </c>
      <c r="AE91" s="18" t="n">
        <f aca="false">IF(J91=0,0,ROUND(X91*1440+J$3*60,0)/1440)</f>
        <v>0</v>
      </c>
      <c r="AF91" s="18" t="n">
        <f aca="false">IF(K91=0,0,ROUND(Y91*1440+K$3*60,0)/1440)</f>
        <v>0</v>
      </c>
      <c r="AG91" s="18" t="n">
        <f aca="false">IF(L91=0,0,ROUND(Z91*1440+L$3*60,0)/1440)</f>
        <v>0</v>
      </c>
      <c r="AH91" s="19" t="n">
        <f aca="false">SUMPRODUCT((MOD(AO$1:AU$1-0,7)&lt;Inputs!$B$6)*AO$2:AU$2*(AO90:AU90+1))*100+MOD(0-5,7)</f>
        <v>1602</v>
      </c>
      <c r="AI91" s="19" t="n">
        <f aca="false">SUMPRODUCT((MOD(AO$1:AU$1-1,7)&lt;Inputs!$B$6)*AO$2:AU$2*(AO90:AU90+1))*100+MOD(1-5,7)</f>
        <v>1403</v>
      </c>
      <c r="AJ91" s="19" t="n">
        <f aca="false">SUMPRODUCT((MOD(AO$1:AU$1-2,7)&lt;Inputs!$B$6)*AO$2:AU$2*(AO90:AU90+1))*100+MOD(2-5,7)</f>
        <v>1404</v>
      </c>
      <c r="AK91" s="19" t="n">
        <f aca="false">SUMPRODUCT((MOD(AO$1:AU$1-3,7)&lt;Inputs!$B$6)*AO$2:AU$2*(AO90:AU90+1))*100+MOD(3-5,7)</f>
        <v>1405</v>
      </c>
      <c r="AL91" s="19" t="n">
        <f aca="false">SUMPRODUCT((MOD(AO$1:AU$1-4,7)&lt;Inputs!$B$6)*AO$2:AU$2*(AO90:AU90+1))*100+MOD(4-5,7)</f>
        <v>1406</v>
      </c>
      <c r="AM91" s="19" t="n">
        <f aca="false">SUMPRODUCT((MOD(AO$1:AU$1-5,7)&lt;Inputs!$B$6)*AO$2:AU$2*(AO90:AU90+1))*100+MOD(5-5,7)</f>
        <v>1800</v>
      </c>
      <c r="AN91" s="19" t="n">
        <f aca="false">SUMPRODUCT((MOD(AO$1:AU$1-6,7)&lt;Inputs!$B$6)*AO$2:AU$2*(AO90:AU90+1))*100+MOD(6-5,7)</f>
        <v>1801</v>
      </c>
      <c r="AO91" s="19" t="n">
        <f aca="false">AO90+IF($B91=1,IF(MOD(0-$D91,7)&lt;Inputs!$B$6,1,0),0)</f>
        <v>3</v>
      </c>
      <c r="AP91" s="19" t="n">
        <f aca="false">AP90+IF($B91=1,IF(MOD(1-$D91,7)&lt;Inputs!$B$6,1,0),0)</f>
        <v>3</v>
      </c>
      <c r="AQ91" s="19" t="n">
        <f aca="false">AQ90+IF($B91=1,IF(MOD(2-$D91,7)&lt;Inputs!$B$6,1,0),0)</f>
        <v>2</v>
      </c>
      <c r="AR91" s="19" t="n">
        <f aca="false">AR90+IF($B91=1,IF(MOD(3-$D91,7)&lt;Inputs!$B$6,1,0),0)</f>
        <v>3</v>
      </c>
      <c r="AS91" s="19" t="n">
        <f aca="false">AS90+IF($B91=1,IF(MOD(4-$D91,7)&lt;Inputs!$B$6,1,0),0)</f>
        <v>2</v>
      </c>
      <c r="AT91" s="19" t="n">
        <f aca="false">AT90+IF($B91=1,IF(MOD(5-$D91,7)&lt;Inputs!$B$6,1,0),0)</f>
        <v>3</v>
      </c>
      <c r="AU91" s="19" t="n">
        <f aca="false">AU90+IF($B91=1,IF(MOD(6-$D91,7)&lt;Inputs!$B$6,1,0),0)</f>
        <v>4</v>
      </c>
    </row>
    <row r="92" customFormat="false" ht="15" hidden="false" customHeight="false" outlineLevel="0" collapsed="false">
      <c r="A92" s="0" t="n">
        <v>87</v>
      </c>
      <c r="B92" s="0" t="n">
        <f aca="false">IF(A92&lt;=Inputs!$B$3,1,0)</f>
        <v>0</v>
      </c>
      <c r="C92" s="0" t="n">
        <f aca="false">MOD(5+MOD(A92-1,7),7)</f>
        <v>0</v>
      </c>
      <c r="D92" s="0" t="n">
        <f aca="false">IF(Inputs!C109&lt;&gt;"",MATCH(Inputs!C109,Inputs!$A$11:$A$17,0)-1,IF(B92=0,0,MATCH(MIN(AH92:AN92),AH92:AN92,0)-1))</f>
        <v>0</v>
      </c>
      <c r="F92" s="0" t="n">
        <f aca="false">IF(OR($B92=0,F$3=0),0,IF(MOD(0-$D92,7)&lt;Inputs!$B$6,0,1))</f>
        <v>0</v>
      </c>
      <c r="G92" s="0" t="n">
        <f aca="false">IF(OR($B92=0,G$3=0),0,IF(MOD(1-$D92,7)&lt;Inputs!$B$6,0,1))</f>
        <v>0</v>
      </c>
      <c r="H92" s="0" t="n">
        <f aca="false">IF(OR($B92=0,H$3=0),0,IF(MOD(2-$D92,7)&lt;Inputs!$B$6,0,1))</f>
        <v>0</v>
      </c>
      <c r="I92" s="0" t="n">
        <f aca="false">IF(OR($B92=0,I$3=0),0,IF(MOD(3-$D92,7)&lt;Inputs!$B$6,0,1))</f>
        <v>0</v>
      </c>
      <c r="J92" s="0" t="n">
        <f aca="false">IF(OR($B92=0,J$3=0),0,IF(MOD(4-$D92,7)&lt;Inputs!$B$6,0,1))</f>
        <v>0</v>
      </c>
      <c r="K92" s="0" t="n">
        <f aca="false">IF(OR($B92=0,K$3=0),0,IF(MOD(5-$D92,7)&lt;Inputs!$B$6,0,1))</f>
        <v>0</v>
      </c>
      <c r="L92" s="0" t="n">
        <f aca="false">IF(OR($B92=0,L$3=0),0,IF(MOD(6-$D92,7)&lt;Inputs!$B$6,0,1))</f>
        <v>0</v>
      </c>
      <c r="M92" s="0" t="n">
        <f aca="false">SUM(F$6:F92)</f>
        <v>7</v>
      </c>
      <c r="N92" s="0" t="n">
        <f aca="false">SUM(G$6:G92)</f>
        <v>7</v>
      </c>
      <c r="O92" s="0" t="n">
        <f aca="false">SUM(H$6:H92)</f>
        <v>8</v>
      </c>
      <c r="P92" s="0" t="n">
        <f aca="false">SUM(I$6:I92)</f>
        <v>7</v>
      </c>
      <c r="Q92" s="0" t="n">
        <f aca="false">SUM(J$6:J92)</f>
        <v>8</v>
      </c>
      <c r="R92" s="0" t="n">
        <f aca="false">SUM(K$6:K92)</f>
        <v>7</v>
      </c>
      <c r="S92" s="0" t="n">
        <f aca="false">SUM(L$6:L92)</f>
        <v>6</v>
      </c>
      <c r="T92" s="18" t="n">
        <f aca="false">IF(F92=0,0,IF(Inputs!$D109="Open",F$1,IF(Inputs!$D109="Close",ROUND(F$2*1440-F$3*60,0)/1440,IF(OR(INT((M92-1)/Inputs!$B$7)=0,(INT((M$3-1-MOD(M92-1,Inputs!$B$7))/Inputs!$B$7)+1)&lt;=1),F$1,IF(INT((M92-1)/Inputs!$B$7)&gt;=(INT((M$3-1-MOD(M92-1,Inputs!$B$7))/Inputs!$B$7)+1)-1,ROUND(F$2*1440-F$3*60,0)/1440,MAX(F$1,MIN(ROUND(F$2*1440-F$3*60,0)/1440,ROUND((F$1+INT((M92-1)/Inputs!$B$7)/((INT((M$3-1-MOD(M92-1,Inputs!$B$7))/Inputs!$B$7)+1)-1)*((ROUND(F$2*1440-F$3*60,0)/1440)-F$1))*96,0)/96)))))))</f>
        <v>0</v>
      </c>
      <c r="U92" s="18" t="n">
        <f aca="false">IF(G92=0,0,IF(Inputs!$D109="Open",G$1,IF(Inputs!$D109="Close",ROUND(G$2*1440-G$3*60,0)/1440,IF(OR(INT((N92-1)/Inputs!$B$7)=0,(INT((N$3-1-MOD(N92-1,Inputs!$B$7))/Inputs!$B$7)+1)&lt;=1),G$1,IF(INT((N92-1)/Inputs!$B$7)&gt;=(INT((N$3-1-MOD(N92-1,Inputs!$B$7))/Inputs!$B$7)+1)-1,ROUND(G$2*1440-G$3*60,0)/1440,MAX(G$1,MIN(ROUND(G$2*1440-G$3*60,0)/1440,ROUND((G$1+INT((N92-1)/Inputs!$B$7)/((INT((N$3-1-MOD(N92-1,Inputs!$B$7))/Inputs!$B$7)+1)-1)*((ROUND(G$2*1440-G$3*60,0)/1440)-G$1))*96,0)/96)))))))</f>
        <v>0</v>
      </c>
      <c r="V92" s="18" t="n">
        <f aca="false">IF(H92=0,0,IF(Inputs!$D109="Open",H$1,IF(Inputs!$D109="Close",ROUND(H$2*1440-H$3*60,0)/1440,IF(OR(INT((O92-1)/Inputs!$B$7)=0,(INT((O$3-1-MOD(O92-1,Inputs!$B$7))/Inputs!$B$7)+1)&lt;=1),H$1,IF(INT((O92-1)/Inputs!$B$7)&gt;=(INT((O$3-1-MOD(O92-1,Inputs!$B$7))/Inputs!$B$7)+1)-1,ROUND(H$2*1440-H$3*60,0)/1440,MAX(H$1,MIN(ROUND(H$2*1440-H$3*60,0)/1440,ROUND((H$1+INT((O92-1)/Inputs!$B$7)/((INT((O$3-1-MOD(O92-1,Inputs!$B$7))/Inputs!$B$7)+1)-1)*((ROUND(H$2*1440-H$3*60,0)/1440)-H$1))*96,0)/96)))))))</f>
        <v>0</v>
      </c>
      <c r="W92" s="18" t="n">
        <f aca="false">IF(I92=0,0,IF(Inputs!$D109="Open",I$1,IF(Inputs!$D109="Close",ROUND(I$2*1440-I$3*60,0)/1440,IF(OR(INT((P92-1)/Inputs!$B$7)=0,(INT((P$3-1-MOD(P92-1,Inputs!$B$7))/Inputs!$B$7)+1)&lt;=1),I$1,IF(INT((P92-1)/Inputs!$B$7)&gt;=(INT((P$3-1-MOD(P92-1,Inputs!$B$7))/Inputs!$B$7)+1)-1,ROUND(I$2*1440-I$3*60,0)/1440,MAX(I$1,MIN(ROUND(I$2*1440-I$3*60,0)/1440,ROUND((I$1+INT((P92-1)/Inputs!$B$7)/((INT((P$3-1-MOD(P92-1,Inputs!$B$7))/Inputs!$B$7)+1)-1)*((ROUND(I$2*1440-I$3*60,0)/1440)-I$1))*96,0)/96)))))))</f>
        <v>0</v>
      </c>
      <c r="X92" s="18" t="n">
        <f aca="false">IF(J92=0,0,IF(Inputs!$D109="Open",J$1,IF(Inputs!$D109="Close",ROUND(J$2*1440-J$3*60,0)/1440,IF(OR(INT((Q92-1)/Inputs!$B$7)=0,(INT((Q$3-1-MOD(Q92-1,Inputs!$B$7))/Inputs!$B$7)+1)&lt;=1),J$1,IF(INT((Q92-1)/Inputs!$B$7)&gt;=(INT((Q$3-1-MOD(Q92-1,Inputs!$B$7))/Inputs!$B$7)+1)-1,ROUND(J$2*1440-J$3*60,0)/1440,MAX(J$1,MIN(ROUND(J$2*1440-J$3*60,0)/1440,ROUND((J$1+INT((Q92-1)/Inputs!$B$7)/((INT((Q$3-1-MOD(Q92-1,Inputs!$B$7))/Inputs!$B$7)+1)-1)*((ROUND(J$2*1440-J$3*60,0)/1440)-J$1))*96,0)/96)))))))</f>
        <v>0</v>
      </c>
      <c r="Y92" s="18" t="n">
        <f aca="false">IF(K92=0,0,IF(Inputs!$D109="Open",K$1,IF(Inputs!$D109="Close",ROUND(K$2*1440-K$3*60,0)/1440,IF(OR(INT((R92-1)/Inputs!$B$7)=0,(INT((R$3-1-MOD(R92-1,Inputs!$B$7))/Inputs!$B$7)+1)&lt;=1),K$1,IF(INT((R92-1)/Inputs!$B$7)&gt;=(INT((R$3-1-MOD(R92-1,Inputs!$B$7))/Inputs!$B$7)+1)-1,ROUND(K$2*1440-K$3*60,0)/1440,MAX(K$1,MIN(ROUND(K$2*1440-K$3*60,0)/1440,ROUND((K$1+INT((R92-1)/Inputs!$B$7)/((INT((R$3-1-MOD(R92-1,Inputs!$B$7))/Inputs!$B$7)+1)-1)*((ROUND(K$2*1440-K$3*60,0)/1440)-K$1))*96,0)/96)))))))</f>
        <v>0</v>
      </c>
      <c r="Z92" s="18" t="n">
        <f aca="false">IF(L92=0,0,IF(Inputs!$D109="Open",L$1,IF(Inputs!$D109="Close",ROUND(L$2*1440-L$3*60,0)/1440,IF(OR(INT((S92-1)/Inputs!$B$7)=0,(INT((S$3-1-MOD(S92-1,Inputs!$B$7))/Inputs!$B$7)+1)&lt;=1),L$1,IF(INT((S92-1)/Inputs!$B$7)&gt;=(INT((S$3-1-MOD(S92-1,Inputs!$B$7))/Inputs!$B$7)+1)-1,ROUND(L$2*1440-L$3*60,0)/1440,MAX(L$1,MIN(ROUND(L$2*1440-L$3*60,0)/1440,ROUND((L$1+INT((S92-1)/Inputs!$B$7)/((INT((S$3-1-MOD(S92-1,Inputs!$B$7))/Inputs!$B$7)+1)-1)*((ROUND(L$2*1440-L$3*60,0)/1440)-L$1))*96,0)/96)))))))</f>
        <v>0</v>
      </c>
      <c r="AA92" s="18" t="n">
        <f aca="false">IF(F92=0,0,ROUND(T92*1440+F$3*60,0)/1440)</f>
        <v>0</v>
      </c>
      <c r="AB92" s="18" t="n">
        <f aca="false">IF(G92=0,0,ROUND(U92*1440+G$3*60,0)/1440)</f>
        <v>0</v>
      </c>
      <c r="AC92" s="18" t="n">
        <f aca="false">IF(H92=0,0,ROUND(V92*1440+H$3*60,0)/1440)</f>
        <v>0</v>
      </c>
      <c r="AD92" s="18" t="n">
        <f aca="false">IF(I92=0,0,ROUND(W92*1440+I$3*60,0)/1440)</f>
        <v>0</v>
      </c>
      <c r="AE92" s="18" t="n">
        <f aca="false">IF(J92=0,0,ROUND(X92*1440+J$3*60,0)/1440)</f>
        <v>0</v>
      </c>
      <c r="AF92" s="18" t="n">
        <f aca="false">IF(K92=0,0,ROUND(Y92*1440+K$3*60,0)/1440)</f>
        <v>0</v>
      </c>
      <c r="AG92" s="18" t="n">
        <f aca="false">IF(L92=0,0,ROUND(Z92*1440+L$3*60,0)/1440)</f>
        <v>0</v>
      </c>
      <c r="AH92" s="19" t="n">
        <f aca="false">SUMPRODUCT((MOD(AO$1:AU$1-0,7)&lt;Inputs!$B$6)*AO$2:AU$2*(AO91:AU91+1))*100+MOD(0-5,7)</f>
        <v>1602</v>
      </c>
      <c r="AI92" s="19" t="n">
        <f aca="false">SUMPRODUCT((MOD(AO$1:AU$1-1,7)&lt;Inputs!$B$6)*AO$2:AU$2*(AO91:AU91+1))*100+MOD(1-5,7)</f>
        <v>1403</v>
      </c>
      <c r="AJ92" s="19" t="n">
        <f aca="false">SUMPRODUCT((MOD(AO$1:AU$1-2,7)&lt;Inputs!$B$6)*AO$2:AU$2*(AO91:AU91+1))*100+MOD(2-5,7)</f>
        <v>1404</v>
      </c>
      <c r="AK92" s="19" t="n">
        <f aca="false">SUMPRODUCT((MOD(AO$1:AU$1-3,7)&lt;Inputs!$B$6)*AO$2:AU$2*(AO91:AU91+1))*100+MOD(3-5,7)</f>
        <v>1405</v>
      </c>
      <c r="AL92" s="19" t="n">
        <f aca="false">SUMPRODUCT((MOD(AO$1:AU$1-4,7)&lt;Inputs!$B$6)*AO$2:AU$2*(AO91:AU91+1))*100+MOD(4-5,7)</f>
        <v>1406</v>
      </c>
      <c r="AM92" s="19" t="n">
        <f aca="false">SUMPRODUCT((MOD(AO$1:AU$1-5,7)&lt;Inputs!$B$6)*AO$2:AU$2*(AO91:AU91+1))*100+MOD(5-5,7)</f>
        <v>1800</v>
      </c>
      <c r="AN92" s="19" t="n">
        <f aca="false">SUMPRODUCT((MOD(AO$1:AU$1-6,7)&lt;Inputs!$B$6)*AO$2:AU$2*(AO91:AU91+1))*100+MOD(6-5,7)</f>
        <v>1801</v>
      </c>
      <c r="AO92" s="19" t="n">
        <f aca="false">AO91+IF($B92=1,IF(MOD(0-$D92,7)&lt;Inputs!$B$6,1,0),0)</f>
        <v>3</v>
      </c>
      <c r="AP92" s="19" t="n">
        <f aca="false">AP91+IF($B92=1,IF(MOD(1-$D92,7)&lt;Inputs!$B$6,1,0),0)</f>
        <v>3</v>
      </c>
      <c r="AQ92" s="19" t="n">
        <f aca="false">AQ91+IF($B92=1,IF(MOD(2-$D92,7)&lt;Inputs!$B$6,1,0),0)</f>
        <v>2</v>
      </c>
      <c r="AR92" s="19" t="n">
        <f aca="false">AR91+IF($B92=1,IF(MOD(3-$D92,7)&lt;Inputs!$B$6,1,0),0)</f>
        <v>3</v>
      </c>
      <c r="AS92" s="19" t="n">
        <f aca="false">AS91+IF($B92=1,IF(MOD(4-$D92,7)&lt;Inputs!$B$6,1,0),0)</f>
        <v>2</v>
      </c>
      <c r="AT92" s="19" t="n">
        <f aca="false">AT91+IF($B92=1,IF(MOD(5-$D92,7)&lt;Inputs!$B$6,1,0),0)</f>
        <v>3</v>
      </c>
      <c r="AU92" s="19" t="n">
        <f aca="false">AU91+IF($B92=1,IF(MOD(6-$D92,7)&lt;Inputs!$B$6,1,0),0)</f>
        <v>4</v>
      </c>
    </row>
    <row r="93" customFormat="false" ht="15" hidden="false" customHeight="false" outlineLevel="0" collapsed="false">
      <c r="A93" s="0" t="n">
        <v>88</v>
      </c>
      <c r="B93" s="0" t="n">
        <f aca="false">IF(A93&lt;=Inputs!$B$3,1,0)</f>
        <v>0</v>
      </c>
      <c r="C93" s="0" t="n">
        <f aca="false">MOD(5+MOD(A93-1,7),7)</f>
        <v>1</v>
      </c>
      <c r="D93" s="0" t="n">
        <f aca="false">IF(Inputs!C110&lt;&gt;"",MATCH(Inputs!C110,Inputs!$A$11:$A$17,0)-1,IF(B93=0,0,MATCH(MIN(AH93:AN93),AH93:AN93,0)-1))</f>
        <v>0</v>
      </c>
      <c r="F93" s="0" t="n">
        <f aca="false">IF(OR($B93=0,F$3=0),0,IF(MOD(0-$D93,7)&lt;Inputs!$B$6,0,1))</f>
        <v>0</v>
      </c>
      <c r="G93" s="0" t="n">
        <f aca="false">IF(OR($B93=0,G$3=0),0,IF(MOD(1-$D93,7)&lt;Inputs!$B$6,0,1))</f>
        <v>0</v>
      </c>
      <c r="H93" s="0" t="n">
        <f aca="false">IF(OR($B93=0,H$3=0),0,IF(MOD(2-$D93,7)&lt;Inputs!$B$6,0,1))</f>
        <v>0</v>
      </c>
      <c r="I93" s="0" t="n">
        <f aca="false">IF(OR($B93=0,I$3=0),0,IF(MOD(3-$D93,7)&lt;Inputs!$B$6,0,1))</f>
        <v>0</v>
      </c>
      <c r="J93" s="0" t="n">
        <f aca="false">IF(OR($B93=0,J$3=0),0,IF(MOD(4-$D93,7)&lt;Inputs!$B$6,0,1))</f>
        <v>0</v>
      </c>
      <c r="K93" s="0" t="n">
        <f aca="false">IF(OR($B93=0,K$3=0),0,IF(MOD(5-$D93,7)&lt;Inputs!$B$6,0,1))</f>
        <v>0</v>
      </c>
      <c r="L93" s="0" t="n">
        <f aca="false">IF(OR($B93=0,L$3=0),0,IF(MOD(6-$D93,7)&lt;Inputs!$B$6,0,1))</f>
        <v>0</v>
      </c>
      <c r="M93" s="0" t="n">
        <f aca="false">SUM(F$6:F93)</f>
        <v>7</v>
      </c>
      <c r="N93" s="0" t="n">
        <f aca="false">SUM(G$6:G93)</f>
        <v>7</v>
      </c>
      <c r="O93" s="0" t="n">
        <f aca="false">SUM(H$6:H93)</f>
        <v>8</v>
      </c>
      <c r="P93" s="0" t="n">
        <f aca="false">SUM(I$6:I93)</f>
        <v>7</v>
      </c>
      <c r="Q93" s="0" t="n">
        <f aca="false">SUM(J$6:J93)</f>
        <v>8</v>
      </c>
      <c r="R93" s="0" t="n">
        <f aca="false">SUM(K$6:K93)</f>
        <v>7</v>
      </c>
      <c r="S93" s="0" t="n">
        <f aca="false">SUM(L$6:L93)</f>
        <v>6</v>
      </c>
      <c r="T93" s="18" t="n">
        <f aca="false">IF(F93=0,0,IF(Inputs!$D110="Open",F$1,IF(Inputs!$D110="Close",ROUND(F$2*1440-F$3*60,0)/1440,IF(OR(INT((M93-1)/Inputs!$B$7)=0,(INT((M$3-1-MOD(M93-1,Inputs!$B$7))/Inputs!$B$7)+1)&lt;=1),F$1,IF(INT((M93-1)/Inputs!$B$7)&gt;=(INT((M$3-1-MOD(M93-1,Inputs!$B$7))/Inputs!$B$7)+1)-1,ROUND(F$2*1440-F$3*60,0)/1440,MAX(F$1,MIN(ROUND(F$2*1440-F$3*60,0)/1440,ROUND((F$1+INT((M93-1)/Inputs!$B$7)/((INT((M$3-1-MOD(M93-1,Inputs!$B$7))/Inputs!$B$7)+1)-1)*((ROUND(F$2*1440-F$3*60,0)/1440)-F$1))*96,0)/96)))))))</f>
        <v>0</v>
      </c>
      <c r="U93" s="18" t="n">
        <f aca="false">IF(G93=0,0,IF(Inputs!$D110="Open",G$1,IF(Inputs!$D110="Close",ROUND(G$2*1440-G$3*60,0)/1440,IF(OR(INT((N93-1)/Inputs!$B$7)=0,(INT((N$3-1-MOD(N93-1,Inputs!$B$7))/Inputs!$B$7)+1)&lt;=1),G$1,IF(INT((N93-1)/Inputs!$B$7)&gt;=(INT((N$3-1-MOD(N93-1,Inputs!$B$7))/Inputs!$B$7)+1)-1,ROUND(G$2*1440-G$3*60,0)/1440,MAX(G$1,MIN(ROUND(G$2*1440-G$3*60,0)/1440,ROUND((G$1+INT((N93-1)/Inputs!$B$7)/((INT((N$3-1-MOD(N93-1,Inputs!$B$7))/Inputs!$B$7)+1)-1)*((ROUND(G$2*1440-G$3*60,0)/1440)-G$1))*96,0)/96)))))))</f>
        <v>0</v>
      </c>
      <c r="V93" s="18" t="n">
        <f aca="false">IF(H93=0,0,IF(Inputs!$D110="Open",H$1,IF(Inputs!$D110="Close",ROUND(H$2*1440-H$3*60,0)/1440,IF(OR(INT((O93-1)/Inputs!$B$7)=0,(INT((O$3-1-MOD(O93-1,Inputs!$B$7))/Inputs!$B$7)+1)&lt;=1),H$1,IF(INT((O93-1)/Inputs!$B$7)&gt;=(INT((O$3-1-MOD(O93-1,Inputs!$B$7))/Inputs!$B$7)+1)-1,ROUND(H$2*1440-H$3*60,0)/1440,MAX(H$1,MIN(ROUND(H$2*1440-H$3*60,0)/1440,ROUND((H$1+INT((O93-1)/Inputs!$B$7)/((INT((O$3-1-MOD(O93-1,Inputs!$B$7))/Inputs!$B$7)+1)-1)*((ROUND(H$2*1440-H$3*60,0)/1440)-H$1))*96,0)/96)))))))</f>
        <v>0</v>
      </c>
      <c r="W93" s="18" t="n">
        <f aca="false">IF(I93=0,0,IF(Inputs!$D110="Open",I$1,IF(Inputs!$D110="Close",ROUND(I$2*1440-I$3*60,0)/1440,IF(OR(INT((P93-1)/Inputs!$B$7)=0,(INT((P$3-1-MOD(P93-1,Inputs!$B$7))/Inputs!$B$7)+1)&lt;=1),I$1,IF(INT((P93-1)/Inputs!$B$7)&gt;=(INT((P$3-1-MOD(P93-1,Inputs!$B$7))/Inputs!$B$7)+1)-1,ROUND(I$2*1440-I$3*60,0)/1440,MAX(I$1,MIN(ROUND(I$2*1440-I$3*60,0)/1440,ROUND((I$1+INT((P93-1)/Inputs!$B$7)/((INT((P$3-1-MOD(P93-1,Inputs!$B$7))/Inputs!$B$7)+1)-1)*((ROUND(I$2*1440-I$3*60,0)/1440)-I$1))*96,0)/96)))))))</f>
        <v>0</v>
      </c>
      <c r="X93" s="18" t="n">
        <f aca="false">IF(J93=0,0,IF(Inputs!$D110="Open",J$1,IF(Inputs!$D110="Close",ROUND(J$2*1440-J$3*60,0)/1440,IF(OR(INT((Q93-1)/Inputs!$B$7)=0,(INT((Q$3-1-MOD(Q93-1,Inputs!$B$7))/Inputs!$B$7)+1)&lt;=1),J$1,IF(INT((Q93-1)/Inputs!$B$7)&gt;=(INT((Q$3-1-MOD(Q93-1,Inputs!$B$7))/Inputs!$B$7)+1)-1,ROUND(J$2*1440-J$3*60,0)/1440,MAX(J$1,MIN(ROUND(J$2*1440-J$3*60,0)/1440,ROUND((J$1+INT((Q93-1)/Inputs!$B$7)/((INT((Q$3-1-MOD(Q93-1,Inputs!$B$7))/Inputs!$B$7)+1)-1)*((ROUND(J$2*1440-J$3*60,0)/1440)-J$1))*96,0)/96)))))))</f>
        <v>0</v>
      </c>
      <c r="Y93" s="18" t="n">
        <f aca="false">IF(K93=0,0,IF(Inputs!$D110="Open",K$1,IF(Inputs!$D110="Close",ROUND(K$2*1440-K$3*60,0)/1440,IF(OR(INT((R93-1)/Inputs!$B$7)=0,(INT((R$3-1-MOD(R93-1,Inputs!$B$7))/Inputs!$B$7)+1)&lt;=1),K$1,IF(INT((R93-1)/Inputs!$B$7)&gt;=(INT((R$3-1-MOD(R93-1,Inputs!$B$7))/Inputs!$B$7)+1)-1,ROUND(K$2*1440-K$3*60,0)/1440,MAX(K$1,MIN(ROUND(K$2*1440-K$3*60,0)/1440,ROUND((K$1+INT((R93-1)/Inputs!$B$7)/((INT((R$3-1-MOD(R93-1,Inputs!$B$7))/Inputs!$B$7)+1)-1)*((ROUND(K$2*1440-K$3*60,0)/1440)-K$1))*96,0)/96)))))))</f>
        <v>0</v>
      </c>
      <c r="Z93" s="18" t="n">
        <f aca="false">IF(L93=0,0,IF(Inputs!$D110="Open",L$1,IF(Inputs!$D110="Close",ROUND(L$2*1440-L$3*60,0)/1440,IF(OR(INT((S93-1)/Inputs!$B$7)=0,(INT((S$3-1-MOD(S93-1,Inputs!$B$7))/Inputs!$B$7)+1)&lt;=1),L$1,IF(INT((S93-1)/Inputs!$B$7)&gt;=(INT((S$3-1-MOD(S93-1,Inputs!$B$7))/Inputs!$B$7)+1)-1,ROUND(L$2*1440-L$3*60,0)/1440,MAX(L$1,MIN(ROUND(L$2*1440-L$3*60,0)/1440,ROUND((L$1+INT((S93-1)/Inputs!$B$7)/((INT((S$3-1-MOD(S93-1,Inputs!$B$7))/Inputs!$B$7)+1)-1)*((ROUND(L$2*1440-L$3*60,0)/1440)-L$1))*96,0)/96)))))))</f>
        <v>0</v>
      </c>
      <c r="AA93" s="18" t="n">
        <f aca="false">IF(F93=0,0,ROUND(T93*1440+F$3*60,0)/1440)</f>
        <v>0</v>
      </c>
      <c r="AB93" s="18" t="n">
        <f aca="false">IF(G93=0,0,ROUND(U93*1440+G$3*60,0)/1440)</f>
        <v>0</v>
      </c>
      <c r="AC93" s="18" t="n">
        <f aca="false">IF(H93=0,0,ROUND(V93*1440+H$3*60,0)/1440)</f>
        <v>0</v>
      </c>
      <c r="AD93" s="18" t="n">
        <f aca="false">IF(I93=0,0,ROUND(W93*1440+I$3*60,0)/1440)</f>
        <v>0</v>
      </c>
      <c r="AE93" s="18" t="n">
        <f aca="false">IF(J93=0,0,ROUND(X93*1440+J$3*60,0)/1440)</f>
        <v>0</v>
      </c>
      <c r="AF93" s="18" t="n">
        <f aca="false">IF(K93=0,0,ROUND(Y93*1440+K$3*60,0)/1440)</f>
        <v>0</v>
      </c>
      <c r="AG93" s="18" t="n">
        <f aca="false">IF(L93=0,0,ROUND(Z93*1440+L$3*60,0)/1440)</f>
        <v>0</v>
      </c>
      <c r="AH93" s="19" t="n">
        <f aca="false">SUMPRODUCT((MOD(AO$1:AU$1-0,7)&lt;Inputs!$B$6)*AO$2:AU$2*(AO92:AU92+1))*100+MOD(0-5,7)</f>
        <v>1602</v>
      </c>
      <c r="AI93" s="19" t="n">
        <f aca="false">SUMPRODUCT((MOD(AO$1:AU$1-1,7)&lt;Inputs!$B$6)*AO$2:AU$2*(AO92:AU92+1))*100+MOD(1-5,7)</f>
        <v>1403</v>
      </c>
      <c r="AJ93" s="19" t="n">
        <f aca="false">SUMPRODUCT((MOD(AO$1:AU$1-2,7)&lt;Inputs!$B$6)*AO$2:AU$2*(AO92:AU92+1))*100+MOD(2-5,7)</f>
        <v>1404</v>
      </c>
      <c r="AK93" s="19" t="n">
        <f aca="false">SUMPRODUCT((MOD(AO$1:AU$1-3,7)&lt;Inputs!$B$6)*AO$2:AU$2*(AO92:AU92+1))*100+MOD(3-5,7)</f>
        <v>1405</v>
      </c>
      <c r="AL93" s="19" t="n">
        <f aca="false">SUMPRODUCT((MOD(AO$1:AU$1-4,7)&lt;Inputs!$B$6)*AO$2:AU$2*(AO92:AU92+1))*100+MOD(4-5,7)</f>
        <v>1406</v>
      </c>
      <c r="AM93" s="19" t="n">
        <f aca="false">SUMPRODUCT((MOD(AO$1:AU$1-5,7)&lt;Inputs!$B$6)*AO$2:AU$2*(AO92:AU92+1))*100+MOD(5-5,7)</f>
        <v>1800</v>
      </c>
      <c r="AN93" s="19" t="n">
        <f aca="false">SUMPRODUCT((MOD(AO$1:AU$1-6,7)&lt;Inputs!$B$6)*AO$2:AU$2*(AO92:AU92+1))*100+MOD(6-5,7)</f>
        <v>1801</v>
      </c>
      <c r="AO93" s="19" t="n">
        <f aca="false">AO92+IF($B93=1,IF(MOD(0-$D93,7)&lt;Inputs!$B$6,1,0),0)</f>
        <v>3</v>
      </c>
      <c r="AP93" s="19" t="n">
        <f aca="false">AP92+IF($B93=1,IF(MOD(1-$D93,7)&lt;Inputs!$B$6,1,0),0)</f>
        <v>3</v>
      </c>
      <c r="AQ93" s="19" t="n">
        <f aca="false">AQ92+IF($B93=1,IF(MOD(2-$D93,7)&lt;Inputs!$B$6,1,0),0)</f>
        <v>2</v>
      </c>
      <c r="AR93" s="19" t="n">
        <f aca="false">AR92+IF($B93=1,IF(MOD(3-$D93,7)&lt;Inputs!$B$6,1,0),0)</f>
        <v>3</v>
      </c>
      <c r="AS93" s="19" t="n">
        <f aca="false">AS92+IF($B93=1,IF(MOD(4-$D93,7)&lt;Inputs!$B$6,1,0),0)</f>
        <v>2</v>
      </c>
      <c r="AT93" s="19" t="n">
        <f aca="false">AT92+IF($B93=1,IF(MOD(5-$D93,7)&lt;Inputs!$B$6,1,0),0)</f>
        <v>3</v>
      </c>
      <c r="AU93" s="19" t="n">
        <f aca="false">AU92+IF($B93=1,IF(MOD(6-$D93,7)&lt;Inputs!$B$6,1,0),0)</f>
        <v>4</v>
      </c>
    </row>
    <row r="94" customFormat="false" ht="15" hidden="false" customHeight="false" outlineLevel="0" collapsed="false">
      <c r="A94" s="0" t="n">
        <v>89</v>
      </c>
      <c r="B94" s="0" t="n">
        <f aca="false">IF(A94&lt;=Inputs!$B$3,1,0)</f>
        <v>0</v>
      </c>
      <c r="C94" s="0" t="n">
        <f aca="false">MOD(5+MOD(A94-1,7),7)</f>
        <v>2</v>
      </c>
      <c r="D94" s="0" t="n">
        <f aca="false">IF(Inputs!C111&lt;&gt;"",MATCH(Inputs!C111,Inputs!$A$11:$A$17,0)-1,IF(B94=0,0,MATCH(MIN(AH94:AN94),AH94:AN94,0)-1))</f>
        <v>0</v>
      </c>
      <c r="F94" s="0" t="n">
        <f aca="false">IF(OR($B94=0,F$3=0),0,IF(MOD(0-$D94,7)&lt;Inputs!$B$6,0,1))</f>
        <v>0</v>
      </c>
      <c r="G94" s="0" t="n">
        <f aca="false">IF(OR($B94=0,G$3=0),0,IF(MOD(1-$D94,7)&lt;Inputs!$B$6,0,1))</f>
        <v>0</v>
      </c>
      <c r="H94" s="0" t="n">
        <f aca="false">IF(OR($B94=0,H$3=0),0,IF(MOD(2-$D94,7)&lt;Inputs!$B$6,0,1))</f>
        <v>0</v>
      </c>
      <c r="I94" s="0" t="n">
        <f aca="false">IF(OR($B94=0,I$3=0),0,IF(MOD(3-$D94,7)&lt;Inputs!$B$6,0,1))</f>
        <v>0</v>
      </c>
      <c r="J94" s="0" t="n">
        <f aca="false">IF(OR($B94=0,J$3=0),0,IF(MOD(4-$D94,7)&lt;Inputs!$B$6,0,1))</f>
        <v>0</v>
      </c>
      <c r="K94" s="0" t="n">
        <f aca="false">IF(OR($B94=0,K$3=0),0,IF(MOD(5-$D94,7)&lt;Inputs!$B$6,0,1))</f>
        <v>0</v>
      </c>
      <c r="L94" s="0" t="n">
        <f aca="false">IF(OR($B94=0,L$3=0),0,IF(MOD(6-$D94,7)&lt;Inputs!$B$6,0,1))</f>
        <v>0</v>
      </c>
      <c r="M94" s="0" t="n">
        <f aca="false">SUM(F$6:F94)</f>
        <v>7</v>
      </c>
      <c r="N94" s="0" t="n">
        <f aca="false">SUM(G$6:G94)</f>
        <v>7</v>
      </c>
      <c r="O94" s="0" t="n">
        <f aca="false">SUM(H$6:H94)</f>
        <v>8</v>
      </c>
      <c r="P94" s="0" t="n">
        <f aca="false">SUM(I$6:I94)</f>
        <v>7</v>
      </c>
      <c r="Q94" s="0" t="n">
        <f aca="false">SUM(J$6:J94)</f>
        <v>8</v>
      </c>
      <c r="R94" s="0" t="n">
        <f aca="false">SUM(K$6:K94)</f>
        <v>7</v>
      </c>
      <c r="S94" s="0" t="n">
        <f aca="false">SUM(L$6:L94)</f>
        <v>6</v>
      </c>
      <c r="T94" s="18" t="n">
        <f aca="false">IF(F94=0,0,IF(Inputs!$D111="Open",F$1,IF(Inputs!$D111="Close",ROUND(F$2*1440-F$3*60,0)/1440,IF(OR(INT((M94-1)/Inputs!$B$7)=0,(INT((M$3-1-MOD(M94-1,Inputs!$B$7))/Inputs!$B$7)+1)&lt;=1),F$1,IF(INT((M94-1)/Inputs!$B$7)&gt;=(INT((M$3-1-MOD(M94-1,Inputs!$B$7))/Inputs!$B$7)+1)-1,ROUND(F$2*1440-F$3*60,0)/1440,MAX(F$1,MIN(ROUND(F$2*1440-F$3*60,0)/1440,ROUND((F$1+INT((M94-1)/Inputs!$B$7)/((INT((M$3-1-MOD(M94-1,Inputs!$B$7))/Inputs!$B$7)+1)-1)*((ROUND(F$2*1440-F$3*60,0)/1440)-F$1))*96,0)/96)))))))</f>
        <v>0</v>
      </c>
      <c r="U94" s="18" t="n">
        <f aca="false">IF(G94=0,0,IF(Inputs!$D111="Open",G$1,IF(Inputs!$D111="Close",ROUND(G$2*1440-G$3*60,0)/1440,IF(OR(INT((N94-1)/Inputs!$B$7)=0,(INT((N$3-1-MOD(N94-1,Inputs!$B$7))/Inputs!$B$7)+1)&lt;=1),G$1,IF(INT((N94-1)/Inputs!$B$7)&gt;=(INT((N$3-1-MOD(N94-1,Inputs!$B$7))/Inputs!$B$7)+1)-1,ROUND(G$2*1440-G$3*60,0)/1440,MAX(G$1,MIN(ROUND(G$2*1440-G$3*60,0)/1440,ROUND((G$1+INT((N94-1)/Inputs!$B$7)/((INT((N$3-1-MOD(N94-1,Inputs!$B$7))/Inputs!$B$7)+1)-1)*((ROUND(G$2*1440-G$3*60,0)/1440)-G$1))*96,0)/96)))))))</f>
        <v>0</v>
      </c>
      <c r="V94" s="18" t="n">
        <f aca="false">IF(H94=0,0,IF(Inputs!$D111="Open",H$1,IF(Inputs!$D111="Close",ROUND(H$2*1440-H$3*60,0)/1440,IF(OR(INT((O94-1)/Inputs!$B$7)=0,(INT((O$3-1-MOD(O94-1,Inputs!$B$7))/Inputs!$B$7)+1)&lt;=1),H$1,IF(INT((O94-1)/Inputs!$B$7)&gt;=(INT((O$3-1-MOD(O94-1,Inputs!$B$7))/Inputs!$B$7)+1)-1,ROUND(H$2*1440-H$3*60,0)/1440,MAX(H$1,MIN(ROUND(H$2*1440-H$3*60,0)/1440,ROUND((H$1+INT((O94-1)/Inputs!$B$7)/((INT((O$3-1-MOD(O94-1,Inputs!$B$7))/Inputs!$B$7)+1)-1)*((ROUND(H$2*1440-H$3*60,0)/1440)-H$1))*96,0)/96)))))))</f>
        <v>0</v>
      </c>
      <c r="W94" s="18" t="n">
        <f aca="false">IF(I94=0,0,IF(Inputs!$D111="Open",I$1,IF(Inputs!$D111="Close",ROUND(I$2*1440-I$3*60,0)/1440,IF(OR(INT((P94-1)/Inputs!$B$7)=0,(INT((P$3-1-MOD(P94-1,Inputs!$B$7))/Inputs!$B$7)+1)&lt;=1),I$1,IF(INT((P94-1)/Inputs!$B$7)&gt;=(INT((P$3-1-MOD(P94-1,Inputs!$B$7))/Inputs!$B$7)+1)-1,ROUND(I$2*1440-I$3*60,0)/1440,MAX(I$1,MIN(ROUND(I$2*1440-I$3*60,0)/1440,ROUND((I$1+INT((P94-1)/Inputs!$B$7)/((INT((P$3-1-MOD(P94-1,Inputs!$B$7))/Inputs!$B$7)+1)-1)*((ROUND(I$2*1440-I$3*60,0)/1440)-I$1))*96,0)/96)))))))</f>
        <v>0</v>
      </c>
      <c r="X94" s="18" t="n">
        <f aca="false">IF(J94=0,0,IF(Inputs!$D111="Open",J$1,IF(Inputs!$D111="Close",ROUND(J$2*1440-J$3*60,0)/1440,IF(OR(INT((Q94-1)/Inputs!$B$7)=0,(INT((Q$3-1-MOD(Q94-1,Inputs!$B$7))/Inputs!$B$7)+1)&lt;=1),J$1,IF(INT((Q94-1)/Inputs!$B$7)&gt;=(INT((Q$3-1-MOD(Q94-1,Inputs!$B$7))/Inputs!$B$7)+1)-1,ROUND(J$2*1440-J$3*60,0)/1440,MAX(J$1,MIN(ROUND(J$2*1440-J$3*60,0)/1440,ROUND((J$1+INT((Q94-1)/Inputs!$B$7)/((INT((Q$3-1-MOD(Q94-1,Inputs!$B$7))/Inputs!$B$7)+1)-1)*((ROUND(J$2*1440-J$3*60,0)/1440)-J$1))*96,0)/96)))))))</f>
        <v>0</v>
      </c>
      <c r="Y94" s="18" t="n">
        <f aca="false">IF(K94=0,0,IF(Inputs!$D111="Open",K$1,IF(Inputs!$D111="Close",ROUND(K$2*1440-K$3*60,0)/1440,IF(OR(INT((R94-1)/Inputs!$B$7)=0,(INT((R$3-1-MOD(R94-1,Inputs!$B$7))/Inputs!$B$7)+1)&lt;=1),K$1,IF(INT((R94-1)/Inputs!$B$7)&gt;=(INT((R$3-1-MOD(R94-1,Inputs!$B$7))/Inputs!$B$7)+1)-1,ROUND(K$2*1440-K$3*60,0)/1440,MAX(K$1,MIN(ROUND(K$2*1440-K$3*60,0)/1440,ROUND((K$1+INT((R94-1)/Inputs!$B$7)/((INT((R$3-1-MOD(R94-1,Inputs!$B$7))/Inputs!$B$7)+1)-1)*((ROUND(K$2*1440-K$3*60,0)/1440)-K$1))*96,0)/96)))))))</f>
        <v>0</v>
      </c>
      <c r="Z94" s="18" t="n">
        <f aca="false">IF(L94=0,0,IF(Inputs!$D111="Open",L$1,IF(Inputs!$D111="Close",ROUND(L$2*1440-L$3*60,0)/1440,IF(OR(INT((S94-1)/Inputs!$B$7)=0,(INT((S$3-1-MOD(S94-1,Inputs!$B$7))/Inputs!$B$7)+1)&lt;=1),L$1,IF(INT((S94-1)/Inputs!$B$7)&gt;=(INT((S$3-1-MOD(S94-1,Inputs!$B$7))/Inputs!$B$7)+1)-1,ROUND(L$2*1440-L$3*60,0)/1440,MAX(L$1,MIN(ROUND(L$2*1440-L$3*60,0)/1440,ROUND((L$1+INT((S94-1)/Inputs!$B$7)/((INT((S$3-1-MOD(S94-1,Inputs!$B$7))/Inputs!$B$7)+1)-1)*((ROUND(L$2*1440-L$3*60,0)/1440)-L$1))*96,0)/96)))))))</f>
        <v>0</v>
      </c>
      <c r="AA94" s="18" t="n">
        <f aca="false">IF(F94=0,0,ROUND(T94*1440+F$3*60,0)/1440)</f>
        <v>0</v>
      </c>
      <c r="AB94" s="18" t="n">
        <f aca="false">IF(G94=0,0,ROUND(U94*1440+G$3*60,0)/1440)</f>
        <v>0</v>
      </c>
      <c r="AC94" s="18" t="n">
        <f aca="false">IF(H94=0,0,ROUND(V94*1440+H$3*60,0)/1440)</f>
        <v>0</v>
      </c>
      <c r="AD94" s="18" t="n">
        <f aca="false">IF(I94=0,0,ROUND(W94*1440+I$3*60,0)/1440)</f>
        <v>0</v>
      </c>
      <c r="AE94" s="18" t="n">
        <f aca="false">IF(J94=0,0,ROUND(X94*1440+J$3*60,0)/1440)</f>
        <v>0</v>
      </c>
      <c r="AF94" s="18" t="n">
        <f aca="false">IF(K94=0,0,ROUND(Y94*1440+K$3*60,0)/1440)</f>
        <v>0</v>
      </c>
      <c r="AG94" s="18" t="n">
        <f aca="false">IF(L94=0,0,ROUND(Z94*1440+L$3*60,0)/1440)</f>
        <v>0</v>
      </c>
      <c r="AH94" s="19" t="n">
        <f aca="false">SUMPRODUCT((MOD(AO$1:AU$1-0,7)&lt;Inputs!$B$6)*AO$2:AU$2*(AO93:AU93+1))*100+MOD(0-5,7)</f>
        <v>1602</v>
      </c>
      <c r="AI94" s="19" t="n">
        <f aca="false">SUMPRODUCT((MOD(AO$1:AU$1-1,7)&lt;Inputs!$B$6)*AO$2:AU$2*(AO93:AU93+1))*100+MOD(1-5,7)</f>
        <v>1403</v>
      </c>
      <c r="AJ94" s="19" t="n">
        <f aca="false">SUMPRODUCT((MOD(AO$1:AU$1-2,7)&lt;Inputs!$B$6)*AO$2:AU$2*(AO93:AU93+1))*100+MOD(2-5,7)</f>
        <v>1404</v>
      </c>
      <c r="AK94" s="19" t="n">
        <f aca="false">SUMPRODUCT((MOD(AO$1:AU$1-3,7)&lt;Inputs!$B$6)*AO$2:AU$2*(AO93:AU93+1))*100+MOD(3-5,7)</f>
        <v>1405</v>
      </c>
      <c r="AL94" s="19" t="n">
        <f aca="false">SUMPRODUCT((MOD(AO$1:AU$1-4,7)&lt;Inputs!$B$6)*AO$2:AU$2*(AO93:AU93+1))*100+MOD(4-5,7)</f>
        <v>1406</v>
      </c>
      <c r="AM94" s="19" t="n">
        <f aca="false">SUMPRODUCT((MOD(AO$1:AU$1-5,7)&lt;Inputs!$B$6)*AO$2:AU$2*(AO93:AU93+1))*100+MOD(5-5,7)</f>
        <v>1800</v>
      </c>
      <c r="AN94" s="19" t="n">
        <f aca="false">SUMPRODUCT((MOD(AO$1:AU$1-6,7)&lt;Inputs!$B$6)*AO$2:AU$2*(AO93:AU93+1))*100+MOD(6-5,7)</f>
        <v>1801</v>
      </c>
      <c r="AO94" s="19" t="n">
        <f aca="false">AO93+IF($B94=1,IF(MOD(0-$D94,7)&lt;Inputs!$B$6,1,0),0)</f>
        <v>3</v>
      </c>
      <c r="AP94" s="19" t="n">
        <f aca="false">AP93+IF($B94=1,IF(MOD(1-$D94,7)&lt;Inputs!$B$6,1,0),0)</f>
        <v>3</v>
      </c>
      <c r="AQ94" s="19" t="n">
        <f aca="false">AQ93+IF($B94=1,IF(MOD(2-$D94,7)&lt;Inputs!$B$6,1,0),0)</f>
        <v>2</v>
      </c>
      <c r="AR94" s="19" t="n">
        <f aca="false">AR93+IF($B94=1,IF(MOD(3-$D94,7)&lt;Inputs!$B$6,1,0),0)</f>
        <v>3</v>
      </c>
      <c r="AS94" s="19" t="n">
        <f aca="false">AS93+IF($B94=1,IF(MOD(4-$D94,7)&lt;Inputs!$B$6,1,0),0)</f>
        <v>2</v>
      </c>
      <c r="AT94" s="19" t="n">
        <f aca="false">AT93+IF($B94=1,IF(MOD(5-$D94,7)&lt;Inputs!$B$6,1,0),0)</f>
        <v>3</v>
      </c>
      <c r="AU94" s="19" t="n">
        <f aca="false">AU93+IF($B94=1,IF(MOD(6-$D94,7)&lt;Inputs!$B$6,1,0),0)</f>
        <v>4</v>
      </c>
    </row>
    <row r="95" customFormat="false" ht="15" hidden="false" customHeight="false" outlineLevel="0" collapsed="false">
      <c r="A95" s="0" t="n">
        <v>90</v>
      </c>
      <c r="B95" s="0" t="n">
        <f aca="false">IF(A95&lt;=Inputs!$B$3,1,0)</f>
        <v>0</v>
      </c>
      <c r="C95" s="0" t="n">
        <f aca="false">MOD(5+MOD(A95-1,7),7)</f>
        <v>3</v>
      </c>
      <c r="D95" s="0" t="n">
        <f aca="false">IF(Inputs!C112&lt;&gt;"",MATCH(Inputs!C112,Inputs!$A$11:$A$17,0)-1,IF(B95=0,0,MATCH(MIN(AH95:AN95),AH95:AN95,0)-1))</f>
        <v>0</v>
      </c>
      <c r="F95" s="0" t="n">
        <f aca="false">IF(OR($B95=0,F$3=0),0,IF(MOD(0-$D95,7)&lt;Inputs!$B$6,0,1))</f>
        <v>0</v>
      </c>
      <c r="G95" s="0" t="n">
        <f aca="false">IF(OR($B95=0,G$3=0),0,IF(MOD(1-$D95,7)&lt;Inputs!$B$6,0,1))</f>
        <v>0</v>
      </c>
      <c r="H95" s="0" t="n">
        <f aca="false">IF(OR($B95=0,H$3=0),0,IF(MOD(2-$D95,7)&lt;Inputs!$B$6,0,1))</f>
        <v>0</v>
      </c>
      <c r="I95" s="0" t="n">
        <f aca="false">IF(OR($B95=0,I$3=0),0,IF(MOD(3-$D95,7)&lt;Inputs!$B$6,0,1))</f>
        <v>0</v>
      </c>
      <c r="J95" s="0" t="n">
        <f aca="false">IF(OR($B95=0,J$3=0),0,IF(MOD(4-$D95,7)&lt;Inputs!$B$6,0,1))</f>
        <v>0</v>
      </c>
      <c r="K95" s="0" t="n">
        <f aca="false">IF(OR($B95=0,K$3=0),0,IF(MOD(5-$D95,7)&lt;Inputs!$B$6,0,1))</f>
        <v>0</v>
      </c>
      <c r="L95" s="0" t="n">
        <f aca="false">IF(OR($B95=0,L$3=0),0,IF(MOD(6-$D95,7)&lt;Inputs!$B$6,0,1))</f>
        <v>0</v>
      </c>
      <c r="M95" s="0" t="n">
        <f aca="false">SUM(F$6:F95)</f>
        <v>7</v>
      </c>
      <c r="N95" s="0" t="n">
        <f aca="false">SUM(G$6:G95)</f>
        <v>7</v>
      </c>
      <c r="O95" s="0" t="n">
        <f aca="false">SUM(H$6:H95)</f>
        <v>8</v>
      </c>
      <c r="P95" s="0" t="n">
        <f aca="false">SUM(I$6:I95)</f>
        <v>7</v>
      </c>
      <c r="Q95" s="0" t="n">
        <f aca="false">SUM(J$6:J95)</f>
        <v>8</v>
      </c>
      <c r="R95" s="0" t="n">
        <f aca="false">SUM(K$6:K95)</f>
        <v>7</v>
      </c>
      <c r="S95" s="0" t="n">
        <f aca="false">SUM(L$6:L95)</f>
        <v>6</v>
      </c>
      <c r="T95" s="18" t="n">
        <f aca="false">IF(F95=0,0,IF(Inputs!$D112="Open",F$1,IF(Inputs!$D112="Close",ROUND(F$2*1440-F$3*60,0)/1440,IF(OR(INT((M95-1)/Inputs!$B$7)=0,(INT((M$3-1-MOD(M95-1,Inputs!$B$7))/Inputs!$B$7)+1)&lt;=1),F$1,IF(INT((M95-1)/Inputs!$B$7)&gt;=(INT((M$3-1-MOD(M95-1,Inputs!$B$7))/Inputs!$B$7)+1)-1,ROUND(F$2*1440-F$3*60,0)/1440,MAX(F$1,MIN(ROUND(F$2*1440-F$3*60,0)/1440,ROUND((F$1+INT((M95-1)/Inputs!$B$7)/((INT((M$3-1-MOD(M95-1,Inputs!$B$7))/Inputs!$B$7)+1)-1)*((ROUND(F$2*1440-F$3*60,0)/1440)-F$1))*96,0)/96)))))))</f>
        <v>0</v>
      </c>
      <c r="U95" s="18" t="n">
        <f aca="false">IF(G95=0,0,IF(Inputs!$D112="Open",G$1,IF(Inputs!$D112="Close",ROUND(G$2*1440-G$3*60,0)/1440,IF(OR(INT((N95-1)/Inputs!$B$7)=0,(INT((N$3-1-MOD(N95-1,Inputs!$B$7))/Inputs!$B$7)+1)&lt;=1),G$1,IF(INT((N95-1)/Inputs!$B$7)&gt;=(INT((N$3-1-MOD(N95-1,Inputs!$B$7))/Inputs!$B$7)+1)-1,ROUND(G$2*1440-G$3*60,0)/1440,MAX(G$1,MIN(ROUND(G$2*1440-G$3*60,0)/1440,ROUND((G$1+INT((N95-1)/Inputs!$B$7)/((INT((N$3-1-MOD(N95-1,Inputs!$B$7))/Inputs!$B$7)+1)-1)*((ROUND(G$2*1440-G$3*60,0)/1440)-G$1))*96,0)/96)))))))</f>
        <v>0</v>
      </c>
      <c r="V95" s="18" t="n">
        <f aca="false">IF(H95=0,0,IF(Inputs!$D112="Open",H$1,IF(Inputs!$D112="Close",ROUND(H$2*1440-H$3*60,0)/1440,IF(OR(INT((O95-1)/Inputs!$B$7)=0,(INT((O$3-1-MOD(O95-1,Inputs!$B$7))/Inputs!$B$7)+1)&lt;=1),H$1,IF(INT((O95-1)/Inputs!$B$7)&gt;=(INT((O$3-1-MOD(O95-1,Inputs!$B$7))/Inputs!$B$7)+1)-1,ROUND(H$2*1440-H$3*60,0)/1440,MAX(H$1,MIN(ROUND(H$2*1440-H$3*60,0)/1440,ROUND((H$1+INT((O95-1)/Inputs!$B$7)/((INT((O$3-1-MOD(O95-1,Inputs!$B$7))/Inputs!$B$7)+1)-1)*((ROUND(H$2*1440-H$3*60,0)/1440)-H$1))*96,0)/96)))))))</f>
        <v>0</v>
      </c>
      <c r="W95" s="18" t="n">
        <f aca="false">IF(I95=0,0,IF(Inputs!$D112="Open",I$1,IF(Inputs!$D112="Close",ROUND(I$2*1440-I$3*60,0)/1440,IF(OR(INT((P95-1)/Inputs!$B$7)=0,(INT((P$3-1-MOD(P95-1,Inputs!$B$7))/Inputs!$B$7)+1)&lt;=1),I$1,IF(INT((P95-1)/Inputs!$B$7)&gt;=(INT((P$3-1-MOD(P95-1,Inputs!$B$7))/Inputs!$B$7)+1)-1,ROUND(I$2*1440-I$3*60,0)/1440,MAX(I$1,MIN(ROUND(I$2*1440-I$3*60,0)/1440,ROUND((I$1+INT((P95-1)/Inputs!$B$7)/((INT((P$3-1-MOD(P95-1,Inputs!$B$7))/Inputs!$B$7)+1)-1)*((ROUND(I$2*1440-I$3*60,0)/1440)-I$1))*96,0)/96)))))))</f>
        <v>0</v>
      </c>
      <c r="X95" s="18" t="n">
        <f aca="false">IF(J95=0,0,IF(Inputs!$D112="Open",J$1,IF(Inputs!$D112="Close",ROUND(J$2*1440-J$3*60,0)/1440,IF(OR(INT((Q95-1)/Inputs!$B$7)=0,(INT((Q$3-1-MOD(Q95-1,Inputs!$B$7))/Inputs!$B$7)+1)&lt;=1),J$1,IF(INT((Q95-1)/Inputs!$B$7)&gt;=(INT((Q$3-1-MOD(Q95-1,Inputs!$B$7))/Inputs!$B$7)+1)-1,ROUND(J$2*1440-J$3*60,0)/1440,MAX(J$1,MIN(ROUND(J$2*1440-J$3*60,0)/1440,ROUND((J$1+INT((Q95-1)/Inputs!$B$7)/((INT((Q$3-1-MOD(Q95-1,Inputs!$B$7))/Inputs!$B$7)+1)-1)*((ROUND(J$2*1440-J$3*60,0)/1440)-J$1))*96,0)/96)))))))</f>
        <v>0</v>
      </c>
      <c r="Y95" s="18" t="n">
        <f aca="false">IF(K95=0,0,IF(Inputs!$D112="Open",K$1,IF(Inputs!$D112="Close",ROUND(K$2*1440-K$3*60,0)/1440,IF(OR(INT((R95-1)/Inputs!$B$7)=0,(INT((R$3-1-MOD(R95-1,Inputs!$B$7))/Inputs!$B$7)+1)&lt;=1),K$1,IF(INT((R95-1)/Inputs!$B$7)&gt;=(INT((R$3-1-MOD(R95-1,Inputs!$B$7))/Inputs!$B$7)+1)-1,ROUND(K$2*1440-K$3*60,0)/1440,MAX(K$1,MIN(ROUND(K$2*1440-K$3*60,0)/1440,ROUND((K$1+INT((R95-1)/Inputs!$B$7)/((INT((R$3-1-MOD(R95-1,Inputs!$B$7))/Inputs!$B$7)+1)-1)*((ROUND(K$2*1440-K$3*60,0)/1440)-K$1))*96,0)/96)))))))</f>
        <v>0</v>
      </c>
      <c r="Z95" s="18" t="n">
        <f aca="false">IF(L95=0,0,IF(Inputs!$D112="Open",L$1,IF(Inputs!$D112="Close",ROUND(L$2*1440-L$3*60,0)/1440,IF(OR(INT((S95-1)/Inputs!$B$7)=0,(INT((S$3-1-MOD(S95-1,Inputs!$B$7))/Inputs!$B$7)+1)&lt;=1),L$1,IF(INT((S95-1)/Inputs!$B$7)&gt;=(INT((S$3-1-MOD(S95-1,Inputs!$B$7))/Inputs!$B$7)+1)-1,ROUND(L$2*1440-L$3*60,0)/1440,MAX(L$1,MIN(ROUND(L$2*1440-L$3*60,0)/1440,ROUND((L$1+INT((S95-1)/Inputs!$B$7)/((INT((S$3-1-MOD(S95-1,Inputs!$B$7))/Inputs!$B$7)+1)-1)*((ROUND(L$2*1440-L$3*60,0)/1440)-L$1))*96,0)/96)))))))</f>
        <v>0</v>
      </c>
      <c r="AA95" s="18" t="n">
        <f aca="false">IF(F95=0,0,ROUND(T95*1440+F$3*60,0)/1440)</f>
        <v>0</v>
      </c>
      <c r="AB95" s="18" t="n">
        <f aca="false">IF(G95=0,0,ROUND(U95*1440+G$3*60,0)/1440)</f>
        <v>0</v>
      </c>
      <c r="AC95" s="18" t="n">
        <f aca="false">IF(H95=0,0,ROUND(V95*1440+H$3*60,0)/1440)</f>
        <v>0</v>
      </c>
      <c r="AD95" s="18" t="n">
        <f aca="false">IF(I95=0,0,ROUND(W95*1440+I$3*60,0)/1440)</f>
        <v>0</v>
      </c>
      <c r="AE95" s="18" t="n">
        <f aca="false">IF(J95=0,0,ROUND(X95*1440+J$3*60,0)/1440)</f>
        <v>0</v>
      </c>
      <c r="AF95" s="18" t="n">
        <f aca="false">IF(K95=0,0,ROUND(Y95*1440+K$3*60,0)/1440)</f>
        <v>0</v>
      </c>
      <c r="AG95" s="18" t="n">
        <f aca="false">IF(L95=0,0,ROUND(Z95*1440+L$3*60,0)/1440)</f>
        <v>0</v>
      </c>
      <c r="AH95" s="19" t="n">
        <f aca="false">SUMPRODUCT((MOD(AO$1:AU$1-0,7)&lt;Inputs!$B$6)*AO$2:AU$2*(AO94:AU94+1))*100+MOD(0-5,7)</f>
        <v>1602</v>
      </c>
      <c r="AI95" s="19" t="n">
        <f aca="false">SUMPRODUCT((MOD(AO$1:AU$1-1,7)&lt;Inputs!$B$6)*AO$2:AU$2*(AO94:AU94+1))*100+MOD(1-5,7)</f>
        <v>1403</v>
      </c>
      <c r="AJ95" s="19" t="n">
        <f aca="false">SUMPRODUCT((MOD(AO$1:AU$1-2,7)&lt;Inputs!$B$6)*AO$2:AU$2*(AO94:AU94+1))*100+MOD(2-5,7)</f>
        <v>1404</v>
      </c>
      <c r="AK95" s="19" t="n">
        <f aca="false">SUMPRODUCT((MOD(AO$1:AU$1-3,7)&lt;Inputs!$B$6)*AO$2:AU$2*(AO94:AU94+1))*100+MOD(3-5,7)</f>
        <v>1405</v>
      </c>
      <c r="AL95" s="19" t="n">
        <f aca="false">SUMPRODUCT((MOD(AO$1:AU$1-4,7)&lt;Inputs!$B$6)*AO$2:AU$2*(AO94:AU94+1))*100+MOD(4-5,7)</f>
        <v>1406</v>
      </c>
      <c r="AM95" s="19" t="n">
        <f aca="false">SUMPRODUCT((MOD(AO$1:AU$1-5,7)&lt;Inputs!$B$6)*AO$2:AU$2*(AO94:AU94+1))*100+MOD(5-5,7)</f>
        <v>1800</v>
      </c>
      <c r="AN95" s="19" t="n">
        <f aca="false">SUMPRODUCT((MOD(AO$1:AU$1-6,7)&lt;Inputs!$B$6)*AO$2:AU$2*(AO94:AU94+1))*100+MOD(6-5,7)</f>
        <v>1801</v>
      </c>
      <c r="AO95" s="19" t="n">
        <f aca="false">AO94+IF($B95=1,IF(MOD(0-$D95,7)&lt;Inputs!$B$6,1,0),0)</f>
        <v>3</v>
      </c>
      <c r="AP95" s="19" t="n">
        <f aca="false">AP94+IF($B95=1,IF(MOD(1-$D95,7)&lt;Inputs!$B$6,1,0),0)</f>
        <v>3</v>
      </c>
      <c r="AQ95" s="19" t="n">
        <f aca="false">AQ94+IF($B95=1,IF(MOD(2-$D95,7)&lt;Inputs!$B$6,1,0),0)</f>
        <v>2</v>
      </c>
      <c r="AR95" s="19" t="n">
        <f aca="false">AR94+IF($B95=1,IF(MOD(3-$D95,7)&lt;Inputs!$B$6,1,0),0)</f>
        <v>3</v>
      </c>
      <c r="AS95" s="19" t="n">
        <f aca="false">AS94+IF($B95=1,IF(MOD(4-$D95,7)&lt;Inputs!$B$6,1,0),0)</f>
        <v>2</v>
      </c>
      <c r="AT95" s="19" t="n">
        <f aca="false">AT94+IF($B95=1,IF(MOD(5-$D95,7)&lt;Inputs!$B$6,1,0),0)</f>
        <v>3</v>
      </c>
      <c r="AU95" s="19" t="n">
        <f aca="false">AU94+IF($B95=1,IF(MOD(6-$D95,7)&lt;Inputs!$B$6,1,0),0)</f>
        <v>4</v>
      </c>
    </row>
    <row r="96" customFormat="false" ht="15" hidden="false" customHeight="false" outlineLevel="0" collapsed="false">
      <c r="A96" s="0" t="n">
        <v>91</v>
      </c>
      <c r="B96" s="0" t="n">
        <f aca="false">IF(A96&lt;=Inputs!$B$3,1,0)</f>
        <v>0</v>
      </c>
      <c r="C96" s="0" t="n">
        <f aca="false">MOD(5+MOD(A96-1,7),7)</f>
        <v>4</v>
      </c>
      <c r="D96" s="0" t="n">
        <f aca="false">IF(Inputs!C113&lt;&gt;"",MATCH(Inputs!C113,Inputs!$A$11:$A$17,0)-1,IF(B96=0,0,MATCH(MIN(AH96:AN96),AH96:AN96,0)-1))</f>
        <v>0</v>
      </c>
      <c r="F96" s="0" t="n">
        <f aca="false">IF(OR($B96=0,F$3=0),0,IF(MOD(0-$D96,7)&lt;Inputs!$B$6,0,1))</f>
        <v>0</v>
      </c>
      <c r="G96" s="0" t="n">
        <f aca="false">IF(OR($B96=0,G$3=0),0,IF(MOD(1-$D96,7)&lt;Inputs!$B$6,0,1))</f>
        <v>0</v>
      </c>
      <c r="H96" s="0" t="n">
        <f aca="false">IF(OR($B96=0,H$3=0),0,IF(MOD(2-$D96,7)&lt;Inputs!$B$6,0,1))</f>
        <v>0</v>
      </c>
      <c r="I96" s="0" t="n">
        <f aca="false">IF(OR($B96=0,I$3=0),0,IF(MOD(3-$D96,7)&lt;Inputs!$B$6,0,1))</f>
        <v>0</v>
      </c>
      <c r="J96" s="0" t="n">
        <f aca="false">IF(OR($B96=0,J$3=0),0,IF(MOD(4-$D96,7)&lt;Inputs!$B$6,0,1))</f>
        <v>0</v>
      </c>
      <c r="K96" s="0" t="n">
        <f aca="false">IF(OR($B96=0,K$3=0),0,IF(MOD(5-$D96,7)&lt;Inputs!$B$6,0,1))</f>
        <v>0</v>
      </c>
      <c r="L96" s="0" t="n">
        <f aca="false">IF(OR($B96=0,L$3=0),0,IF(MOD(6-$D96,7)&lt;Inputs!$B$6,0,1))</f>
        <v>0</v>
      </c>
      <c r="M96" s="0" t="n">
        <f aca="false">SUM(F$6:F96)</f>
        <v>7</v>
      </c>
      <c r="N96" s="0" t="n">
        <f aca="false">SUM(G$6:G96)</f>
        <v>7</v>
      </c>
      <c r="O96" s="0" t="n">
        <f aca="false">SUM(H$6:H96)</f>
        <v>8</v>
      </c>
      <c r="P96" s="0" t="n">
        <f aca="false">SUM(I$6:I96)</f>
        <v>7</v>
      </c>
      <c r="Q96" s="0" t="n">
        <f aca="false">SUM(J$6:J96)</f>
        <v>8</v>
      </c>
      <c r="R96" s="0" t="n">
        <f aca="false">SUM(K$6:K96)</f>
        <v>7</v>
      </c>
      <c r="S96" s="0" t="n">
        <f aca="false">SUM(L$6:L96)</f>
        <v>6</v>
      </c>
      <c r="T96" s="18" t="n">
        <f aca="false">IF(F96=0,0,IF(Inputs!$D113="Open",F$1,IF(Inputs!$D113="Close",ROUND(F$2*1440-F$3*60,0)/1440,IF(OR(INT((M96-1)/Inputs!$B$7)=0,(INT((M$3-1-MOD(M96-1,Inputs!$B$7))/Inputs!$B$7)+1)&lt;=1),F$1,IF(INT((M96-1)/Inputs!$B$7)&gt;=(INT((M$3-1-MOD(M96-1,Inputs!$B$7))/Inputs!$B$7)+1)-1,ROUND(F$2*1440-F$3*60,0)/1440,MAX(F$1,MIN(ROUND(F$2*1440-F$3*60,0)/1440,ROUND((F$1+INT((M96-1)/Inputs!$B$7)/((INT((M$3-1-MOD(M96-1,Inputs!$B$7))/Inputs!$B$7)+1)-1)*((ROUND(F$2*1440-F$3*60,0)/1440)-F$1))*96,0)/96)))))))</f>
        <v>0</v>
      </c>
      <c r="U96" s="18" t="n">
        <f aca="false">IF(G96=0,0,IF(Inputs!$D113="Open",G$1,IF(Inputs!$D113="Close",ROUND(G$2*1440-G$3*60,0)/1440,IF(OR(INT((N96-1)/Inputs!$B$7)=0,(INT((N$3-1-MOD(N96-1,Inputs!$B$7))/Inputs!$B$7)+1)&lt;=1),G$1,IF(INT((N96-1)/Inputs!$B$7)&gt;=(INT((N$3-1-MOD(N96-1,Inputs!$B$7))/Inputs!$B$7)+1)-1,ROUND(G$2*1440-G$3*60,0)/1440,MAX(G$1,MIN(ROUND(G$2*1440-G$3*60,0)/1440,ROUND((G$1+INT((N96-1)/Inputs!$B$7)/((INT((N$3-1-MOD(N96-1,Inputs!$B$7))/Inputs!$B$7)+1)-1)*((ROUND(G$2*1440-G$3*60,0)/1440)-G$1))*96,0)/96)))))))</f>
        <v>0</v>
      </c>
      <c r="V96" s="18" t="n">
        <f aca="false">IF(H96=0,0,IF(Inputs!$D113="Open",H$1,IF(Inputs!$D113="Close",ROUND(H$2*1440-H$3*60,0)/1440,IF(OR(INT((O96-1)/Inputs!$B$7)=0,(INT((O$3-1-MOD(O96-1,Inputs!$B$7))/Inputs!$B$7)+1)&lt;=1),H$1,IF(INT((O96-1)/Inputs!$B$7)&gt;=(INT((O$3-1-MOD(O96-1,Inputs!$B$7))/Inputs!$B$7)+1)-1,ROUND(H$2*1440-H$3*60,0)/1440,MAX(H$1,MIN(ROUND(H$2*1440-H$3*60,0)/1440,ROUND((H$1+INT((O96-1)/Inputs!$B$7)/((INT((O$3-1-MOD(O96-1,Inputs!$B$7))/Inputs!$B$7)+1)-1)*((ROUND(H$2*1440-H$3*60,0)/1440)-H$1))*96,0)/96)))))))</f>
        <v>0</v>
      </c>
      <c r="W96" s="18" t="n">
        <f aca="false">IF(I96=0,0,IF(Inputs!$D113="Open",I$1,IF(Inputs!$D113="Close",ROUND(I$2*1440-I$3*60,0)/1440,IF(OR(INT((P96-1)/Inputs!$B$7)=0,(INT((P$3-1-MOD(P96-1,Inputs!$B$7))/Inputs!$B$7)+1)&lt;=1),I$1,IF(INT((P96-1)/Inputs!$B$7)&gt;=(INT((P$3-1-MOD(P96-1,Inputs!$B$7))/Inputs!$B$7)+1)-1,ROUND(I$2*1440-I$3*60,0)/1440,MAX(I$1,MIN(ROUND(I$2*1440-I$3*60,0)/1440,ROUND((I$1+INT((P96-1)/Inputs!$B$7)/((INT((P$3-1-MOD(P96-1,Inputs!$B$7))/Inputs!$B$7)+1)-1)*((ROUND(I$2*1440-I$3*60,0)/1440)-I$1))*96,0)/96)))))))</f>
        <v>0</v>
      </c>
      <c r="X96" s="18" t="n">
        <f aca="false">IF(J96=0,0,IF(Inputs!$D113="Open",J$1,IF(Inputs!$D113="Close",ROUND(J$2*1440-J$3*60,0)/1440,IF(OR(INT((Q96-1)/Inputs!$B$7)=0,(INT((Q$3-1-MOD(Q96-1,Inputs!$B$7))/Inputs!$B$7)+1)&lt;=1),J$1,IF(INT((Q96-1)/Inputs!$B$7)&gt;=(INT((Q$3-1-MOD(Q96-1,Inputs!$B$7))/Inputs!$B$7)+1)-1,ROUND(J$2*1440-J$3*60,0)/1440,MAX(J$1,MIN(ROUND(J$2*1440-J$3*60,0)/1440,ROUND((J$1+INT((Q96-1)/Inputs!$B$7)/((INT((Q$3-1-MOD(Q96-1,Inputs!$B$7))/Inputs!$B$7)+1)-1)*((ROUND(J$2*1440-J$3*60,0)/1440)-J$1))*96,0)/96)))))))</f>
        <v>0</v>
      </c>
      <c r="Y96" s="18" t="n">
        <f aca="false">IF(K96=0,0,IF(Inputs!$D113="Open",K$1,IF(Inputs!$D113="Close",ROUND(K$2*1440-K$3*60,0)/1440,IF(OR(INT((R96-1)/Inputs!$B$7)=0,(INT((R$3-1-MOD(R96-1,Inputs!$B$7))/Inputs!$B$7)+1)&lt;=1),K$1,IF(INT((R96-1)/Inputs!$B$7)&gt;=(INT((R$3-1-MOD(R96-1,Inputs!$B$7))/Inputs!$B$7)+1)-1,ROUND(K$2*1440-K$3*60,0)/1440,MAX(K$1,MIN(ROUND(K$2*1440-K$3*60,0)/1440,ROUND((K$1+INT((R96-1)/Inputs!$B$7)/((INT((R$3-1-MOD(R96-1,Inputs!$B$7))/Inputs!$B$7)+1)-1)*((ROUND(K$2*1440-K$3*60,0)/1440)-K$1))*96,0)/96)))))))</f>
        <v>0</v>
      </c>
      <c r="Z96" s="18" t="n">
        <f aca="false">IF(L96=0,0,IF(Inputs!$D113="Open",L$1,IF(Inputs!$D113="Close",ROUND(L$2*1440-L$3*60,0)/1440,IF(OR(INT((S96-1)/Inputs!$B$7)=0,(INT((S$3-1-MOD(S96-1,Inputs!$B$7))/Inputs!$B$7)+1)&lt;=1),L$1,IF(INT((S96-1)/Inputs!$B$7)&gt;=(INT((S$3-1-MOD(S96-1,Inputs!$B$7))/Inputs!$B$7)+1)-1,ROUND(L$2*1440-L$3*60,0)/1440,MAX(L$1,MIN(ROUND(L$2*1440-L$3*60,0)/1440,ROUND((L$1+INT((S96-1)/Inputs!$B$7)/((INT((S$3-1-MOD(S96-1,Inputs!$B$7))/Inputs!$B$7)+1)-1)*((ROUND(L$2*1440-L$3*60,0)/1440)-L$1))*96,0)/96)))))))</f>
        <v>0</v>
      </c>
      <c r="AA96" s="18" t="n">
        <f aca="false">IF(F96=0,0,ROUND(T96*1440+F$3*60,0)/1440)</f>
        <v>0</v>
      </c>
      <c r="AB96" s="18" t="n">
        <f aca="false">IF(G96=0,0,ROUND(U96*1440+G$3*60,0)/1440)</f>
        <v>0</v>
      </c>
      <c r="AC96" s="18" t="n">
        <f aca="false">IF(H96=0,0,ROUND(V96*1440+H$3*60,0)/1440)</f>
        <v>0</v>
      </c>
      <c r="AD96" s="18" t="n">
        <f aca="false">IF(I96=0,0,ROUND(W96*1440+I$3*60,0)/1440)</f>
        <v>0</v>
      </c>
      <c r="AE96" s="18" t="n">
        <f aca="false">IF(J96=0,0,ROUND(X96*1440+J$3*60,0)/1440)</f>
        <v>0</v>
      </c>
      <c r="AF96" s="18" t="n">
        <f aca="false">IF(K96=0,0,ROUND(Y96*1440+K$3*60,0)/1440)</f>
        <v>0</v>
      </c>
      <c r="AG96" s="18" t="n">
        <f aca="false">IF(L96=0,0,ROUND(Z96*1440+L$3*60,0)/1440)</f>
        <v>0</v>
      </c>
      <c r="AH96" s="19" t="n">
        <f aca="false">SUMPRODUCT((MOD(AO$1:AU$1-0,7)&lt;Inputs!$B$6)*AO$2:AU$2*(AO95:AU95+1))*100+MOD(0-5,7)</f>
        <v>1602</v>
      </c>
      <c r="AI96" s="19" t="n">
        <f aca="false">SUMPRODUCT((MOD(AO$1:AU$1-1,7)&lt;Inputs!$B$6)*AO$2:AU$2*(AO95:AU95+1))*100+MOD(1-5,7)</f>
        <v>1403</v>
      </c>
      <c r="AJ96" s="19" t="n">
        <f aca="false">SUMPRODUCT((MOD(AO$1:AU$1-2,7)&lt;Inputs!$B$6)*AO$2:AU$2*(AO95:AU95+1))*100+MOD(2-5,7)</f>
        <v>1404</v>
      </c>
      <c r="AK96" s="19" t="n">
        <f aca="false">SUMPRODUCT((MOD(AO$1:AU$1-3,7)&lt;Inputs!$B$6)*AO$2:AU$2*(AO95:AU95+1))*100+MOD(3-5,7)</f>
        <v>1405</v>
      </c>
      <c r="AL96" s="19" t="n">
        <f aca="false">SUMPRODUCT((MOD(AO$1:AU$1-4,7)&lt;Inputs!$B$6)*AO$2:AU$2*(AO95:AU95+1))*100+MOD(4-5,7)</f>
        <v>1406</v>
      </c>
      <c r="AM96" s="19" t="n">
        <f aca="false">SUMPRODUCT((MOD(AO$1:AU$1-5,7)&lt;Inputs!$B$6)*AO$2:AU$2*(AO95:AU95+1))*100+MOD(5-5,7)</f>
        <v>1800</v>
      </c>
      <c r="AN96" s="19" t="n">
        <f aca="false">SUMPRODUCT((MOD(AO$1:AU$1-6,7)&lt;Inputs!$B$6)*AO$2:AU$2*(AO95:AU95+1))*100+MOD(6-5,7)</f>
        <v>1801</v>
      </c>
      <c r="AO96" s="19" t="n">
        <f aca="false">AO95+IF($B96=1,IF(MOD(0-$D96,7)&lt;Inputs!$B$6,1,0),0)</f>
        <v>3</v>
      </c>
      <c r="AP96" s="19" t="n">
        <f aca="false">AP95+IF($B96=1,IF(MOD(1-$D96,7)&lt;Inputs!$B$6,1,0),0)</f>
        <v>3</v>
      </c>
      <c r="AQ96" s="19" t="n">
        <f aca="false">AQ95+IF($B96=1,IF(MOD(2-$D96,7)&lt;Inputs!$B$6,1,0),0)</f>
        <v>2</v>
      </c>
      <c r="AR96" s="19" t="n">
        <f aca="false">AR95+IF($B96=1,IF(MOD(3-$D96,7)&lt;Inputs!$B$6,1,0),0)</f>
        <v>3</v>
      </c>
      <c r="AS96" s="19" t="n">
        <f aca="false">AS95+IF($B96=1,IF(MOD(4-$D96,7)&lt;Inputs!$B$6,1,0),0)</f>
        <v>2</v>
      </c>
      <c r="AT96" s="19" t="n">
        <f aca="false">AT95+IF($B96=1,IF(MOD(5-$D96,7)&lt;Inputs!$B$6,1,0),0)</f>
        <v>3</v>
      </c>
      <c r="AU96" s="19" t="n">
        <f aca="false">AU95+IF($B96=1,IF(MOD(6-$D96,7)&lt;Inputs!$B$6,1,0),0)</f>
        <v>4</v>
      </c>
    </row>
    <row r="97" customFormat="false" ht="15" hidden="false" customHeight="false" outlineLevel="0" collapsed="false">
      <c r="A97" s="0" t="n">
        <v>92</v>
      </c>
      <c r="B97" s="0" t="n">
        <f aca="false">IF(A97&lt;=Inputs!$B$3,1,0)</f>
        <v>0</v>
      </c>
      <c r="C97" s="0" t="n">
        <f aca="false">MOD(5+MOD(A97-1,7),7)</f>
        <v>5</v>
      </c>
      <c r="D97" s="0" t="n">
        <f aca="false">IF(Inputs!C114&lt;&gt;"",MATCH(Inputs!C114,Inputs!$A$11:$A$17,0)-1,IF(B97=0,0,MATCH(MIN(AH97:AN97),AH97:AN97,0)-1))</f>
        <v>0</v>
      </c>
      <c r="F97" s="0" t="n">
        <f aca="false">IF(OR($B97=0,F$3=0),0,IF(MOD(0-$D97,7)&lt;Inputs!$B$6,0,1))</f>
        <v>0</v>
      </c>
      <c r="G97" s="0" t="n">
        <f aca="false">IF(OR($B97=0,G$3=0),0,IF(MOD(1-$D97,7)&lt;Inputs!$B$6,0,1))</f>
        <v>0</v>
      </c>
      <c r="H97" s="0" t="n">
        <f aca="false">IF(OR($B97=0,H$3=0),0,IF(MOD(2-$D97,7)&lt;Inputs!$B$6,0,1))</f>
        <v>0</v>
      </c>
      <c r="I97" s="0" t="n">
        <f aca="false">IF(OR($B97=0,I$3=0),0,IF(MOD(3-$D97,7)&lt;Inputs!$B$6,0,1))</f>
        <v>0</v>
      </c>
      <c r="J97" s="0" t="n">
        <f aca="false">IF(OR($B97=0,J$3=0),0,IF(MOD(4-$D97,7)&lt;Inputs!$B$6,0,1))</f>
        <v>0</v>
      </c>
      <c r="K97" s="0" t="n">
        <f aca="false">IF(OR($B97=0,K$3=0),0,IF(MOD(5-$D97,7)&lt;Inputs!$B$6,0,1))</f>
        <v>0</v>
      </c>
      <c r="L97" s="0" t="n">
        <f aca="false">IF(OR($B97=0,L$3=0),0,IF(MOD(6-$D97,7)&lt;Inputs!$B$6,0,1))</f>
        <v>0</v>
      </c>
      <c r="M97" s="0" t="n">
        <f aca="false">SUM(F$6:F97)</f>
        <v>7</v>
      </c>
      <c r="N97" s="0" t="n">
        <f aca="false">SUM(G$6:G97)</f>
        <v>7</v>
      </c>
      <c r="O97" s="0" t="n">
        <f aca="false">SUM(H$6:H97)</f>
        <v>8</v>
      </c>
      <c r="P97" s="0" t="n">
        <f aca="false">SUM(I$6:I97)</f>
        <v>7</v>
      </c>
      <c r="Q97" s="0" t="n">
        <f aca="false">SUM(J$6:J97)</f>
        <v>8</v>
      </c>
      <c r="R97" s="0" t="n">
        <f aca="false">SUM(K$6:K97)</f>
        <v>7</v>
      </c>
      <c r="S97" s="0" t="n">
        <f aca="false">SUM(L$6:L97)</f>
        <v>6</v>
      </c>
      <c r="T97" s="18" t="n">
        <f aca="false">IF(F97=0,0,IF(Inputs!$D114="Open",F$1,IF(Inputs!$D114="Close",ROUND(F$2*1440-F$3*60,0)/1440,IF(OR(INT((M97-1)/Inputs!$B$7)=0,(INT((M$3-1-MOD(M97-1,Inputs!$B$7))/Inputs!$B$7)+1)&lt;=1),F$1,IF(INT((M97-1)/Inputs!$B$7)&gt;=(INT((M$3-1-MOD(M97-1,Inputs!$B$7))/Inputs!$B$7)+1)-1,ROUND(F$2*1440-F$3*60,0)/1440,MAX(F$1,MIN(ROUND(F$2*1440-F$3*60,0)/1440,ROUND((F$1+INT((M97-1)/Inputs!$B$7)/((INT((M$3-1-MOD(M97-1,Inputs!$B$7))/Inputs!$B$7)+1)-1)*((ROUND(F$2*1440-F$3*60,0)/1440)-F$1))*96,0)/96)))))))</f>
        <v>0</v>
      </c>
      <c r="U97" s="18" t="n">
        <f aca="false">IF(G97=0,0,IF(Inputs!$D114="Open",G$1,IF(Inputs!$D114="Close",ROUND(G$2*1440-G$3*60,0)/1440,IF(OR(INT((N97-1)/Inputs!$B$7)=0,(INT((N$3-1-MOD(N97-1,Inputs!$B$7))/Inputs!$B$7)+1)&lt;=1),G$1,IF(INT((N97-1)/Inputs!$B$7)&gt;=(INT((N$3-1-MOD(N97-1,Inputs!$B$7))/Inputs!$B$7)+1)-1,ROUND(G$2*1440-G$3*60,0)/1440,MAX(G$1,MIN(ROUND(G$2*1440-G$3*60,0)/1440,ROUND((G$1+INT((N97-1)/Inputs!$B$7)/((INT((N$3-1-MOD(N97-1,Inputs!$B$7))/Inputs!$B$7)+1)-1)*((ROUND(G$2*1440-G$3*60,0)/1440)-G$1))*96,0)/96)))))))</f>
        <v>0</v>
      </c>
      <c r="V97" s="18" t="n">
        <f aca="false">IF(H97=0,0,IF(Inputs!$D114="Open",H$1,IF(Inputs!$D114="Close",ROUND(H$2*1440-H$3*60,0)/1440,IF(OR(INT((O97-1)/Inputs!$B$7)=0,(INT((O$3-1-MOD(O97-1,Inputs!$B$7))/Inputs!$B$7)+1)&lt;=1),H$1,IF(INT((O97-1)/Inputs!$B$7)&gt;=(INT((O$3-1-MOD(O97-1,Inputs!$B$7))/Inputs!$B$7)+1)-1,ROUND(H$2*1440-H$3*60,0)/1440,MAX(H$1,MIN(ROUND(H$2*1440-H$3*60,0)/1440,ROUND((H$1+INT((O97-1)/Inputs!$B$7)/((INT((O$3-1-MOD(O97-1,Inputs!$B$7))/Inputs!$B$7)+1)-1)*((ROUND(H$2*1440-H$3*60,0)/1440)-H$1))*96,0)/96)))))))</f>
        <v>0</v>
      </c>
      <c r="W97" s="18" t="n">
        <f aca="false">IF(I97=0,0,IF(Inputs!$D114="Open",I$1,IF(Inputs!$D114="Close",ROUND(I$2*1440-I$3*60,0)/1440,IF(OR(INT((P97-1)/Inputs!$B$7)=0,(INT((P$3-1-MOD(P97-1,Inputs!$B$7))/Inputs!$B$7)+1)&lt;=1),I$1,IF(INT((P97-1)/Inputs!$B$7)&gt;=(INT((P$3-1-MOD(P97-1,Inputs!$B$7))/Inputs!$B$7)+1)-1,ROUND(I$2*1440-I$3*60,0)/1440,MAX(I$1,MIN(ROUND(I$2*1440-I$3*60,0)/1440,ROUND((I$1+INT((P97-1)/Inputs!$B$7)/((INT((P$3-1-MOD(P97-1,Inputs!$B$7))/Inputs!$B$7)+1)-1)*((ROUND(I$2*1440-I$3*60,0)/1440)-I$1))*96,0)/96)))))))</f>
        <v>0</v>
      </c>
      <c r="X97" s="18" t="n">
        <f aca="false">IF(J97=0,0,IF(Inputs!$D114="Open",J$1,IF(Inputs!$D114="Close",ROUND(J$2*1440-J$3*60,0)/1440,IF(OR(INT((Q97-1)/Inputs!$B$7)=0,(INT((Q$3-1-MOD(Q97-1,Inputs!$B$7))/Inputs!$B$7)+1)&lt;=1),J$1,IF(INT((Q97-1)/Inputs!$B$7)&gt;=(INT((Q$3-1-MOD(Q97-1,Inputs!$B$7))/Inputs!$B$7)+1)-1,ROUND(J$2*1440-J$3*60,0)/1440,MAX(J$1,MIN(ROUND(J$2*1440-J$3*60,0)/1440,ROUND((J$1+INT((Q97-1)/Inputs!$B$7)/((INT((Q$3-1-MOD(Q97-1,Inputs!$B$7))/Inputs!$B$7)+1)-1)*((ROUND(J$2*1440-J$3*60,0)/1440)-J$1))*96,0)/96)))))))</f>
        <v>0</v>
      </c>
      <c r="Y97" s="18" t="n">
        <f aca="false">IF(K97=0,0,IF(Inputs!$D114="Open",K$1,IF(Inputs!$D114="Close",ROUND(K$2*1440-K$3*60,0)/1440,IF(OR(INT((R97-1)/Inputs!$B$7)=0,(INT((R$3-1-MOD(R97-1,Inputs!$B$7))/Inputs!$B$7)+1)&lt;=1),K$1,IF(INT((R97-1)/Inputs!$B$7)&gt;=(INT((R$3-1-MOD(R97-1,Inputs!$B$7))/Inputs!$B$7)+1)-1,ROUND(K$2*1440-K$3*60,0)/1440,MAX(K$1,MIN(ROUND(K$2*1440-K$3*60,0)/1440,ROUND((K$1+INT((R97-1)/Inputs!$B$7)/((INT((R$3-1-MOD(R97-1,Inputs!$B$7))/Inputs!$B$7)+1)-1)*((ROUND(K$2*1440-K$3*60,0)/1440)-K$1))*96,0)/96)))))))</f>
        <v>0</v>
      </c>
      <c r="Z97" s="18" t="n">
        <f aca="false">IF(L97=0,0,IF(Inputs!$D114="Open",L$1,IF(Inputs!$D114="Close",ROUND(L$2*1440-L$3*60,0)/1440,IF(OR(INT((S97-1)/Inputs!$B$7)=0,(INT((S$3-1-MOD(S97-1,Inputs!$B$7))/Inputs!$B$7)+1)&lt;=1),L$1,IF(INT((S97-1)/Inputs!$B$7)&gt;=(INT((S$3-1-MOD(S97-1,Inputs!$B$7))/Inputs!$B$7)+1)-1,ROUND(L$2*1440-L$3*60,0)/1440,MAX(L$1,MIN(ROUND(L$2*1440-L$3*60,0)/1440,ROUND((L$1+INT((S97-1)/Inputs!$B$7)/((INT((S$3-1-MOD(S97-1,Inputs!$B$7))/Inputs!$B$7)+1)-1)*((ROUND(L$2*1440-L$3*60,0)/1440)-L$1))*96,0)/96)))))))</f>
        <v>0</v>
      </c>
      <c r="AA97" s="18" t="n">
        <f aca="false">IF(F97=0,0,ROUND(T97*1440+F$3*60,0)/1440)</f>
        <v>0</v>
      </c>
      <c r="AB97" s="18" t="n">
        <f aca="false">IF(G97=0,0,ROUND(U97*1440+G$3*60,0)/1440)</f>
        <v>0</v>
      </c>
      <c r="AC97" s="18" t="n">
        <f aca="false">IF(H97=0,0,ROUND(V97*1440+H$3*60,0)/1440)</f>
        <v>0</v>
      </c>
      <c r="AD97" s="18" t="n">
        <f aca="false">IF(I97=0,0,ROUND(W97*1440+I$3*60,0)/1440)</f>
        <v>0</v>
      </c>
      <c r="AE97" s="18" t="n">
        <f aca="false">IF(J97=0,0,ROUND(X97*1440+J$3*60,0)/1440)</f>
        <v>0</v>
      </c>
      <c r="AF97" s="18" t="n">
        <f aca="false">IF(K97=0,0,ROUND(Y97*1440+K$3*60,0)/1440)</f>
        <v>0</v>
      </c>
      <c r="AG97" s="18" t="n">
        <f aca="false">IF(L97=0,0,ROUND(Z97*1440+L$3*60,0)/1440)</f>
        <v>0</v>
      </c>
      <c r="AH97" s="19" t="n">
        <f aca="false">SUMPRODUCT((MOD(AO$1:AU$1-0,7)&lt;Inputs!$B$6)*AO$2:AU$2*(AO96:AU96+1))*100+MOD(0-5,7)</f>
        <v>1602</v>
      </c>
      <c r="AI97" s="19" t="n">
        <f aca="false">SUMPRODUCT((MOD(AO$1:AU$1-1,7)&lt;Inputs!$B$6)*AO$2:AU$2*(AO96:AU96+1))*100+MOD(1-5,7)</f>
        <v>1403</v>
      </c>
      <c r="AJ97" s="19" t="n">
        <f aca="false">SUMPRODUCT((MOD(AO$1:AU$1-2,7)&lt;Inputs!$B$6)*AO$2:AU$2*(AO96:AU96+1))*100+MOD(2-5,7)</f>
        <v>1404</v>
      </c>
      <c r="AK97" s="19" t="n">
        <f aca="false">SUMPRODUCT((MOD(AO$1:AU$1-3,7)&lt;Inputs!$B$6)*AO$2:AU$2*(AO96:AU96+1))*100+MOD(3-5,7)</f>
        <v>1405</v>
      </c>
      <c r="AL97" s="19" t="n">
        <f aca="false">SUMPRODUCT((MOD(AO$1:AU$1-4,7)&lt;Inputs!$B$6)*AO$2:AU$2*(AO96:AU96+1))*100+MOD(4-5,7)</f>
        <v>1406</v>
      </c>
      <c r="AM97" s="19" t="n">
        <f aca="false">SUMPRODUCT((MOD(AO$1:AU$1-5,7)&lt;Inputs!$B$6)*AO$2:AU$2*(AO96:AU96+1))*100+MOD(5-5,7)</f>
        <v>1800</v>
      </c>
      <c r="AN97" s="19" t="n">
        <f aca="false">SUMPRODUCT((MOD(AO$1:AU$1-6,7)&lt;Inputs!$B$6)*AO$2:AU$2*(AO96:AU96+1))*100+MOD(6-5,7)</f>
        <v>1801</v>
      </c>
      <c r="AO97" s="19" t="n">
        <f aca="false">AO96+IF($B97=1,IF(MOD(0-$D97,7)&lt;Inputs!$B$6,1,0),0)</f>
        <v>3</v>
      </c>
      <c r="AP97" s="19" t="n">
        <f aca="false">AP96+IF($B97=1,IF(MOD(1-$D97,7)&lt;Inputs!$B$6,1,0),0)</f>
        <v>3</v>
      </c>
      <c r="AQ97" s="19" t="n">
        <f aca="false">AQ96+IF($B97=1,IF(MOD(2-$D97,7)&lt;Inputs!$B$6,1,0),0)</f>
        <v>2</v>
      </c>
      <c r="AR97" s="19" t="n">
        <f aca="false">AR96+IF($B97=1,IF(MOD(3-$D97,7)&lt;Inputs!$B$6,1,0),0)</f>
        <v>3</v>
      </c>
      <c r="AS97" s="19" t="n">
        <f aca="false">AS96+IF($B97=1,IF(MOD(4-$D97,7)&lt;Inputs!$B$6,1,0),0)</f>
        <v>2</v>
      </c>
      <c r="AT97" s="19" t="n">
        <f aca="false">AT96+IF($B97=1,IF(MOD(5-$D97,7)&lt;Inputs!$B$6,1,0),0)</f>
        <v>3</v>
      </c>
      <c r="AU97" s="19" t="n">
        <f aca="false">AU96+IF($B97=1,IF(MOD(6-$D97,7)&lt;Inputs!$B$6,1,0),0)</f>
        <v>4</v>
      </c>
    </row>
    <row r="98" customFormat="false" ht="15" hidden="false" customHeight="false" outlineLevel="0" collapsed="false">
      <c r="A98" s="0" t="n">
        <v>93</v>
      </c>
      <c r="B98" s="0" t="n">
        <f aca="false">IF(A98&lt;=Inputs!$B$3,1,0)</f>
        <v>0</v>
      </c>
      <c r="C98" s="0" t="n">
        <f aca="false">MOD(5+MOD(A98-1,7),7)</f>
        <v>6</v>
      </c>
      <c r="D98" s="0" t="n">
        <f aca="false">IF(Inputs!C115&lt;&gt;"",MATCH(Inputs!C115,Inputs!$A$11:$A$17,0)-1,IF(B98=0,0,MATCH(MIN(AH98:AN98),AH98:AN98,0)-1))</f>
        <v>0</v>
      </c>
      <c r="F98" s="0" t="n">
        <f aca="false">IF(OR($B98=0,F$3=0),0,IF(MOD(0-$D98,7)&lt;Inputs!$B$6,0,1))</f>
        <v>0</v>
      </c>
      <c r="G98" s="0" t="n">
        <f aca="false">IF(OR($B98=0,G$3=0),0,IF(MOD(1-$D98,7)&lt;Inputs!$B$6,0,1))</f>
        <v>0</v>
      </c>
      <c r="H98" s="0" t="n">
        <f aca="false">IF(OR($B98=0,H$3=0),0,IF(MOD(2-$D98,7)&lt;Inputs!$B$6,0,1))</f>
        <v>0</v>
      </c>
      <c r="I98" s="0" t="n">
        <f aca="false">IF(OR($B98=0,I$3=0),0,IF(MOD(3-$D98,7)&lt;Inputs!$B$6,0,1))</f>
        <v>0</v>
      </c>
      <c r="J98" s="0" t="n">
        <f aca="false">IF(OR($B98=0,J$3=0),0,IF(MOD(4-$D98,7)&lt;Inputs!$B$6,0,1))</f>
        <v>0</v>
      </c>
      <c r="K98" s="0" t="n">
        <f aca="false">IF(OR($B98=0,K$3=0),0,IF(MOD(5-$D98,7)&lt;Inputs!$B$6,0,1))</f>
        <v>0</v>
      </c>
      <c r="L98" s="0" t="n">
        <f aca="false">IF(OR($B98=0,L$3=0),0,IF(MOD(6-$D98,7)&lt;Inputs!$B$6,0,1))</f>
        <v>0</v>
      </c>
      <c r="M98" s="0" t="n">
        <f aca="false">SUM(F$6:F98)</f>
        <v>7</v>
      </c>
      <c r="N98" s="0" t="n">
        <f aca="false">SUM(G$6:G98)</f>
        <v>7</v>
      </c>
      <c r="O98" s="0" t="n">
        <f aca="false">SUM(H$6:H98)</f>
        <v>8</v>
      </c>
      <c r="P98" s="0" t="n">
        <f aca="false">SUM(I$6:I98)</f>
        <v>7</v>
      </c>
      <c r="Q98" s="0" t="n">
        <f aca="false">SUM(J$6:J98)</f>
        <v>8</v>
      </c>
      <c r="R98" s="0" t="n">
        <f aca="false">SUM(K$6:K98)</f>
        <v>7</v>
      </c>
      <c r="S98" s="0" t="n">
        <f aca="false">SUM(L$6:L98)</f>
        <v>6</v>
      </c>
      <c r="T98" s="18" t="n">
        <f aca="false">IF(F98=0,0,IF(Inputs!$D115="Open",F$1,IF(Inputs!$D115="Close",ROUND(F$2*1440-F$3*60,0)/1440,IF(OR(INT((M98-1)/Inputs!$B$7)=0,(INT((M$3-1-MOD(M98-1,Inputs!$B$7))/Inputs!$B$7)+1)&lt;=1),F$1,IF(INT((M98-1)/Inputs!$B$7)&gt;=(INT((M$3-1-MOD(M98-1,Inputs!$B$7))/Inputs!$B$7)+1)-1,ROUND(F$2*1440-F$3*60,0)/1440,MAX(F$1,MIN(ROUND(F$2*1440-F$3*60,0)/1440,ROUND((F$1+INT((M98-1)/Inputs!$B$7)/((INT((M$3-1-MOD(M98-1,Inputs!$B$7))/Inputs!$B$7)+1)-1)*((ROUND(F$2*1440-F$3*60,0)/1440)-F$1))*96,0)/96)))))))</f>
        <v>0</v>
      </c>
      <c r="U98" s="18" t="n">
        <f aca="false">IF(G98=0,0,IF(Inputs!$D115="Open",G$1,IF(Inputs!$D115="Close",ROUND(G$2*1440-G$3*60,0)/1440,IF(OR(INT((N98-1)/Inputs!$B$7)=0,(INT((N$3-1-MOD(N98-1,Inputs!$B$7))/Inputs!$B$7)+1)&lt;=1),G$1,IF(INT((N98-1)/Inputs!$B$7)&gt;=(INT((N$3-1-MOD(N98-1,Inputs!$B$7))/Inputs!$B$7)+1)-1,ROUND(G$2*1440-G$3*60,0)/1440,MAX(G$1,MIN(ROUND(G$2*1440-G$3*60,0)/1440,ROUND((G$1+INT((N98-1)/Inputs!$B$7)/((INT((N$3-1-MOD(N98-1,Inputs!$B$7))/Inputs!$B$7)+1)-1)*((ROUND(G$2*1440-G$3*60,0)/1440)-G$1))*96,0)/96)))))))</f>
        <v>0</v>
      </c>
      <c r="V98" s="18" t="n">
        <f aca="false">IF(H98=0,0,IF(Inputs!$D115="Open",H$1,IF(Inputs!$D115="Close",ROUND(H$2*1440-H$3*60,0)/1440,IF(OR(INT((O98-1)/Inputs!$B$7)=0,(INT((O$3-1-MOD(O98-1,Inputs!$B$7))/Inputs!$B$7)+1)&lt;=1),H$1,IF(INT((O98-1)/Inputs!$B$7)&gt;=(INT((O$3-1-MOD(O98-1,Inputs!$B$7))/Inputs!$B$7)+1)-1,ROUND(H$2*1440-H$3*60,0)/1440,MAX(H$1,MIN(ROUND(H$2*1440-H$3*60,0)/1440,ROUND((H$1+INT((O98-1)/Inputs!$B$7)/((INT((O$3-1-MOD(O98-1,Inputs!$B$7))/Inputs!$B$7)+1)-1)*((ROUND(H$2*1440-H$3*60,0)/1440)-H$1))*96,0)/96)))))))</f>
        <v>0</v>
      </c>
      <c r="W98" s="18" t="n">
        <f aca="false">IF(I98=0,0,IF(Inputs!$D115="Open",I$1,IF(Inputs!$D115="Close",ROUND(I$2*1440-I$3*60,0)/1440,IF(OR(INT((P98-1)/Inputs!$B$7)=0,(INT((P$3-1-MOD(P98-1,Inputs!$B$7))/Inputs!$B$7)+1)&lt;=1),I$1,IF(INT((P98-1)/Inputs!$B$7)&gt;=(INT((P$3-1-MOD(P98-1,Inputs!$B$7))/Inputs!$B$7)+1)-1,ROUND(I$2*1440-I$3*60,0)/1440,MAX(I$1,MIN(ROUND(I$2*1440-I$3*60,0)/1440,ROUND((I$1+INT((P98-1)/Inputs!$B$7)/((INT((P$3-1-MOD(P98-1,Inputs!$B$7))/Inputs!$B$7)+1)-1)*((ROUND(I$2*1440-I$3*60,0)/1440)-I$1))*96,0)/96)))))))</f>
        <v>0</v>
      </c>
      <c r="X98" s="18" t="n">
        <f aca="false">IF(J98=0,0,IF(Inputs!$D115="Open",J$1,IF(Inputs!$D115="Close",ROUND(J$2*1440-J$3*60,0)/1440,IF(OR(INT((Q98-1)/Inputs!$B$7)=0,(INT((Q$3-1-MOD(Q98-1,Inputs!$B$7))/Inputs!$B$7)+1)&lt;=1),J$1,IF(INT((Q98-1)/Inputs!$B$7)&gt;=(INT((Q$3-1-MOD(Q98-1,Inputs!$B$7))/Inputs!$B$7)+1)-1,ROUND(J$2*1440-J$3*60,0)/1440,MAX(J$1,MIN(ROUND(J$2*1440-J$3*60,0)/1440,ROUND((J$1+INT((Q98-1)/Inputs!$B$7)/((INT((Q$3-1-MOD(Q98-1,Inputs!$B$7))/Inputs!$B$7)+1)-1)*((ROUND(J$2*1440-J$3*60,0)/1440)-J$1))*96,0)/96)))))))</f>
        <v>0</v>
      </c>
      <c r="Y98" s="18" t="n">
        <f aca="false">IF(K98=0,0,IF(Inputs!$D115="Open",K$1,IF(Inputs!$D115="Close",ROUND(K$2*1440-K$3*60,0)/1440,IF(OR(INT((R98-1)/Inputs!$B$7)=0,(INT((R$3-1-MOD(R98-1,Inputs!$B$7))/Inputs!$B$7)+1)&lt;=1),K$1,IF(INT((R98-1)/Inputs!$B$7)&gt;=(INT((R$3-1-MOD(R98-1,Inputs!$B$7))/Inputs!$B$7)+1)-1,ROUND(K$2*1440-K$3*60,0)/1440,MAX(K$1,MIN(ROUND(K$2*1440-K$3*60,0)/1440,ROUND((K$1+INT((R98-1)/Inputs!$B$7)/((INT((R$3-1-MOD(R98-1,Inputs!$B$7))/Inputs!$B$7)+1)-1)*((ROUND(K$2*1440-K$3*60,0)/1440)-K$1))*96,0)/96)))))))</f>
        <v>0</v>
      </c>
      <c r="Z98" s="18" t="n">
        <f aca="false">IF(L98=0,0,IF(Inputs!$D115="Open",L$1,IF(Inputs!$D115="Close",ROUND(L$2*1440-L$3*60,0)/1440,IF(OR(INT((S98-1)/Inputs!$B$7)=0,(INT((S$3-1-MOD(S98-1,Inputs!$B$7))/Inputs!$B$7)+1)&lt;=1),L$1,IF(INT((S98-1)/Inputs!$B$7)&gt;=(INT((S$3-1-MOD(S98-1,Inputs!$B$7))/Inputs!$B$7)+1)-1,ROUND(L$2*1440-L$3*60,0)/1440,MAX(L$1,MIN(ROUND(L$2*1440-L$3*60,0)/1440,ROUND((L$1+INT((S98-1)/Inputs!$B$7)/((INT((S$3-1-MOD(S98-1,Inputs!$B$7))/Inputs!$B$7)+1)-1)*((ROUND(L$2*1440-L$3*60,0)/1440)-L$1))*96,0)/96)))))))</f>
        <v>0</v>
      </c>
      <c r="AA98" s="18" t="n">
        <f aca="false">IF(F98=0,0,ROUND(T98*1440+F$3*60,0)/1440)</f>
        <v>0</v>
      </c>
      <c r="AB98" s="18" t="n">
        <f aca="false">IF(G98=0,0,ROUND(U98*1440+G$3*60,0)/1440)</f>
        <v>0</v>
      </c>
      <c r="AC98" s="18" t="n">
        <f aca="false">IF(H98=0,0,ROUND(V98*1440+H$3*60,0)/1440)</f>
        <v>0</v>
      </c>
      <c r="AD98" s="18" t="n">
        <f aca="false">IF(I98=0,0,ROUND(W98*1440+I$3*60,0)/1440)</f>
        <v>0</v>
      </c>
      <c r="AE98" s="18" t="n">
        <f aca="false">IF(J98=0,0,ROUND(X98*1440+J$3*60,0)/1440)</f>
        <v>0</v>
      </c>
      <c r="AF98" s="18" t="n">
        <f aca="false">IF(K98=0,0,ROUND(Y98*1440+K$3*60,0)/1440)</f>
        <v>0</v>
      </c>
      <c r="AG98" s="18" t="n">
        <f aca="false">IF(L98=0,0,ROUND(Z98*1440+L$3*60,0)/1440)</f>
        <v>0</v>
      </c>
      <c r="AH98" s="19" t="n">
        <f aca="false">SUMPRODUCT((MOD(AO$1:AU$1-0,7)&lt;Inputs!$B$6)*AO$2:AU$2*(AO97:AU97+1))*100+MOD(0-5,7)</f>
        <v>1602</v>
      </c>
      <c r="AI98" s="19" t="n">
        <f aca="false">SUMPRODUCT((MOD(AO$1:AU$1-1,7)&lt;Inputs!$B$6)*AO$2:AU$2*(AO97:AU97+1))*100+MOD(1-5,7)</f>
        <v>1403</v>
      </c>
      <c r="AJ98" s="19" t="n">
        <f aca="false">SUMPRODUCT((MOD(AO$1:AU$1-2,7)&lt;Inputs!$B$6)*AO$2:AU$2*(AO97:AU97+1))*100+MOD(2-5,7)</f>
        <v>1404</v>
      </c>
      <c r="AK98" s="19" t="n">
        <f aca="false">SUMPRODUCT((MOD(AO$1:AU$1-3,7)&lt;Inputs!$B$6)*AO$2:AU$2*(AO97:AU97+1))*100+MOD(3-5,7)</f>
        <v>1405</v>
      </c>
      <c r="AL98" s="19" t="n">
        <f aca="false">SUMPRODUCT((MOD(AO$1:AU$1-4,7)&lt;Inputs!$B$6)*AO$2:AU$2*(AO97:AU97+1))*100+MOD(4-5,7)</f>
        <v>1406</v>
      </c>
      <c r="AM98" s="19" t="n">
        <f aca="false">SUMPRODUCT((MOD(AO$1:AU$1-5,7)&lt;Inputs!$B$6)*AO$2:AU$2*(AO97:AU97+1))*100+MOD(5-5,7)</f>
        <v>1800</v>
      </c>
      <c r="AN98" s="19" t="n">
        <f aca="false">SUMPRODUCT((MOD(AO$1:AU$1-6,7)&lt;Inputs!$B$6)*AO$2:AU$2*(AO97:AU97+1))*100+MOD(6-5,7)</f>
        <v>1801</v>
      </c>
      <c r="AO98" s="19" t="n">
        <f aca="false">AO97+IF($B98=1,IF(MOD(0-$D98,7)&lt;Inputs!$B$6,1,0),0)</f>
        <v>3</v>
      </c>
      <c r="AP98" s="19" t="n">
        <f aca="false">AP97+IF($B98=1,IF(MOD(1-$D98,7)&lt;Inputs!$B$6,1,0),0)</f>
        <v>3</v>
      </c>
      <c r="AQ98" s="19" t="n">
        <f aca="false">AQ97+IF($B98=1,IF(MOD(2-$D98,7)&lt;Inputs!$B$6,1,0),0)</f>
        <v>2</v>
      </c>
      <c r="AR98" s="19" t="n">
        <f aca="false">AR97+IF($B98=1,IF(MOD(3-$D98,7)&lt;Inputs!$B$6,1,0),0)</f>
        <v>3</v>
      </c>
      <c r="AS98" s="19" t="n">
        <f aca="false">AS97+IF($B98=1,IF(MOD(4-$D98,7)&lt;Inputs!$B$6,1,0),0)</f>
        <v>2</v>
      </c>
      <c r="AT98" s="19" t="n">
        <f aca="false">AT97+IF($B98=1,IF(MOD(5-$D98,7)&lt;Inputs!$B$6,1,0),0)</f>
        <v>3</v>
      </c>
      <c r="AU98" s="19" t="n">
        <f aca="false">AU97+IF($B98=1,IF(MOD(6-$D98,7)&lt;Inputs!$B$6,1,0),0)</f>
        <v>4</v>
      </c>
    </row>
    <row r="99" customFormat="false" ht="15" hidden="false" customHeight="false" outlineLevel="0" collapsed="false">
      <c r="A99" s="0" t="n">
        <v>94</v>
      </c>
      <c r="B99" s="0" t="n">
        <f aca="false">IF(A99&lt;=Inputs!$B$3,1,0)</f>
        <v>0</v>
      </c>
      <c r="C99" s="0" t="n">
        <f aca="false">MOD(5+MOD(A99-1,7),7)</f>
        <v>0</v>
      </c>
      <c r="D99" s="0" t="n">
        <f aca="false">IF(Inputs!C116&lt;&gt;"",MATCH(Inputs!C116,Inputs!$A$11:$A$17,0)-1,IF(B99=0,0,MATCH(MIN(AH99:AN99),AH99:AN99,0)-1))</f>
        <v>0</v>
      </c>
      <c r="F99" s="0" t="n">
        <f aca="false">IF(OR($B99=0,F$3=0),0,IF(MOD(0-$D99,7)&lt;Inputs!$B$6,0,1))</f>
        <v>0</v>
      </c>
      <c r="G99" s="0" t="n">
        <f aca="false">IF(OR($B99=0,G$3=0),0,IF(MOD(1-$D99,7)&lt;Inputs!$B$6,0,1))</f>
        <v>0</v>
      </c>
      <c r="H99" s="0" t="n">
        <f aca="false">IF(OR($B99=0,H$3=0),0,IF(MOD(2-$D99,7)&lt;Inputs!$B$6,0,1))</f>
        <v>0</v>
      </c>
      <c r="I99" s="0" t="n">
        <f aca="false">IF(OR($B99=0,I$3=0),0,IF(MOD(3-$D99,7)&lt;Inputs!$B$6,0,1))</f>
        <v>0</v>
      </c>
      <c r="J99" s="0" t="n">
        <f aca="false">IF(OR($B99=0,J$3=0),0,IF(MOD(4-$D99,7)&lt;Inputs!$B$6,0,1))</f>
        <v>0</v>
      </c>
      <c r="K99" s="0" t="n">
        <f aca="false">IF(OR($B99=0,K$3=0),0,IF(MOD(5-$D99,7)&lt;Inputs!$B$6,0,1))</f>
        <v>0</v>
      </c>
      <c r="L99" s="0" t="n">
        <f aca="false">IF(OR($B99=0,L$3=0),0,IF(MOD(6-$D99,7)&lt;Inputs!$B$6,0,1))</f>
        <v>0</v>
      </c>
      <c r="M99" s="0" t="n">
        <f aca="false">SUM(F$6:F99)</f>
        <v>7</v>
      </c>
      <c r="N99" s="0" t="n">
        <f aca="false">SUM(G$6:G99)</f>
        <v>7</v>
      </c>
      <c r="O99" s="0" t="n">
        <f aca="false">SUM(H$6:H99)</f>
        <v>8</v>
      </c>
      <c r="P99" s="0" t="n">
        <f aca="false">SUM(I$6:I99)</f>
        <v>7</v>
      </c>
      <c r="Q99" s="0" t="n">
        <f aca="false">SUM(J$6:J99)</f>
        <v>8</v>
      </c>
      <c r="R99" s="0" t="n">
        <f aca="false">SUM(K$6:K99)</f>
        <v>7</v>
      </c>
      <c r="S99" s="0" t="n">
        <f aca="false">SUM(L$6:L99)</f>
        <v>6</v>
      </c>
      <c r="T99" s="18" t="n">
        <f aca="false">IF(F99=0,0,IF(Inputs!$D116="Open",F$1,IF(Inputs!$D116="Close",ROUND(F$2*1440-F$3*60,0)/1440,IF(OR(INT((M99-1)/Inputs!$B$7)=0,(INT((M$3-1-MOD(M99-1,Inputs!$B$7))/Inputs!$B$7)+1)&lt;=1),F$1,IF(INT((M99-1)/Inputs!$B$7)&gt;=(INT((M$3-1-MOD(M99-1,Inputs!$B$7))/Inputs!$B$7)+1)-1,ROUND(F$2*1440-F$3*60,0)/1440,MAX(F$1,MIN(ROUND(F$2*1440-F$3*60,0)/1440,ROUND((F$1+INT((M99-1)/Inputs!$B$7)/((INT((M$3-1-MOD(M99-1,Inputs!$B$7))/Inputs!$B$7)+1)-1)*((ROUND(F$2*1440-F$3*60,0)/1440)-F$1))*96,0)/96)))))))</f>
        <v>0</v>
      </c>
      <c r="U99" s="18" t="n">
        <f aca="false">IF(G99=0,0,IF(Inputs!$D116="Open",G$1,IF(Inputs!$D116="Close",ROUND(G$2*1440-G$3*60,0)/1440,IF(OR(INT((N99-1)/Inputs!$B$7)=0,(INT((N$3-1-MOD(N99-1,Inputs!$B$7))/Inputs!$B$7)+1)&lt;=1),G$1,IF(INT((N99-1)/Inputs!$B$7)&gt;=(INT((N$3-1-MOD(N99-1,Inputs!$B$7))/Inputs!$B$7)+1)-1,ROUND(G$2*1440-G$3*60,0)/1440,MAX(G$1,MIN(ROUND(G$2*1440-G$3*60,0)/1440,ROUND((G$1+INT((N99-1)/Inputs!$B$7)/((INT((N$3-1-MOD(N99-1,Inputs!$B$7))/Inputs!$B$7)+1)-1)*((ROUND(G$2*1440-G$3*60,0)/1440)-G$1))*96,0)/96)))))))</f>
        <v>0</v>
      </c>
      <c r="V99" s="18" t="n">
        <f aca="false">IF(H99=0,0,IF(Inputs!$D116="Open",H$1,IF(Inputs!$D116="Close",ROUND(H$2*1440-H$3*60,0)/1440,IF(OR(INT((O99-1)/Inputs!$B$7)=0,(INT((O$3-1-MOD(O99-1,Inputs!$B$7))/Inputs!$B$7)+1)&lt;=1),H$1,IF(INT((O99-1)/Inputs!$B$7)&gt;=(INT((O$3-1-MOD(O99-1,Inputs!$B$7))/Inputs!$B$7)+1)-1,ROUND(H$2*1440-H$3*60,0)/1440,MAX(H$1,MIN(ROUND(H$2*1440-H$3*60,0)/1440,ROUND((H$1+INT((O99-1)/Inputs!$B$7)/((INT((O$3-1-MOD(O99-1,Inputs!$B$7))/Inputs!$B$7)+1)-1)*((ROUND(H$2*1440-H$3*60,0)/1440)-H$1))*96,0)/96)))))))</f>
        <v>0</v>
      </c>
      <c r="W99" s="18" t="n">
        <f aca="false">IF(I99=0,0,IF(Inputs!$D116="Open",I$1,IF(Inputs!$D116="Close",ROUND(I$2*1440-I$3*60,0)/1440,IF(OR(INT((P99-1)/Inputs!$B$7)=0,(INT((P$3-1-MOD(P99-1,Inputs!$B$7))/Inputs!$B$7)+1)&lt;=1),I$1,IF(INT((P99-1)/Inputs!$B$7)&gt;=(INT((P$3-1-MOD(P99-1,Inputs!$B$7))/Inputs!$B$7)+1)-1,ROUND(I$2*1440-I$3*60,0)/1440,MAX(I$1,MIN(ROUND(I$2*1440-I$3*60,0)/1440,ROUND((I$1+INT((P99-1)/Inputs!$B$7)/((INT((P$3-1-MOD(P99-1,Inputs!$B$7))/Inputs!$B$7)+1)-1)*((ROUND(I$2*1440-I$3*60,0)/1440)-I$1))*96,0)/96)))))))</f>
        <v>0</v>
      </c>
      <c r="X99" s="18" t="n">
        <f aca="false">IF(J99=0,0,IF(Inputs!$D116="Open",J$1,IF(Inputs!$D116="Close",ROUND(J$2*1440-J$3*60,0)/1440,IF(OR(INT((Q99-1)/Inputs!$B$7)=0,(INT((Q$3-1-MOD(Q99-1,Inputs!$B$7))/Inputs!$B$7)+1)&lt;=1),J$1,IF(INT((Q99-1)/Inputs!$B$7)&gt;=(INT((Q$3-1-MOD(Q99-1,Inputs!$B$7))/Inputs!$B$7)+1)-1,ROUND(J$2*1440-J$3*60,0)/1440,MAX(J$1,MIN(ROUND(J$2*1440-J$3*60,0)/1440,ROUND((J$1+INT((Q99-1)/Inputs!$B$7)/((INT((Q$3-1-MOD(Q99-1,Inputs!$B$7))/Inputs!$B$7)+1)-1)*((ROUND(J$2*1440-J$3*60,0)/1440)-J$1))*96,0)/96)))))))</f>
        <v>0</v>
      </c>
      <c r="Y99" s="18" t="n">
        <f aca="false">IF(K99=0,0,IF(Inputs!$D116="Open",K$1,IF(Inputs!$D116="Close",ROUND(K$2*1440-K$3*60,0)/1440,IF(OR(INT((R99-1)/Inputs!$B$7)=0,(INT((R$3-1-MOD(R99-1,Inputs!$B$7))/Inputs!$B$7)+1)&lt;=1),K$1,IF(INT((R99-1)/Inputs!$B$7)&gt;=(INT((R$3-1-MOD(R99-1,Inputs!$B$7))/Inputs!$B$7)+1)-1,ROUND(K$2*1440-K$3*60,0)/1440,MAX(K$1,MIN(ROUND(K$2*1440-K$3*60,0)/1440,ROUND((K$1+INT((R99-1)/Inputs!$B$7)/((INT((R$3-1-MOD(R99-1,Inputs!$B$7))/Inputs!$B$7)+1)-1)*((ROUND(K$2*1440-K$3*60,0)/1440)-K$1))*96,0)/96)))))))</f>
        <v>0</v>
      </c>
      <c r="Z99" s="18" t="n">
        <f aca="false">IF(L99=0,0,IF(Inputs!$D116="Open",L$1,IF(Inputs!$D116="Close",ROUND(L$2*1440-L$3*60,0)/1440,IF(OR(INT((S99-1)/Inputs!$B$7)=0,(INT((S$3-1-MOD(S99-1,Inputs!$B$7))/Inputs!$B$7)+1)&lt;=1),L$1,IF(INT((S99-1)/Inputs!$B$7)&gt;=(INT((S$3-1-MOD(S99-1,Inputs!$B$7))/Inputs!$B$7)+1)-1,ROUND(L$2*1440-L$3*60,0)/1440,MAX(L$1,MIN(ROUND(L$2*1440-L$3*60,0)/1440,ROUND((L$1+INT((S99-1)/Inputs!$B$7)/((INT((S$3-1-MOD(S99-1,Inputs!$B$7))/Inputs!$B$7)+1)-1)*((ROUND(L$2*1440-L$3*60,0)/1440)-L$1))*96,0)/96)))))))</f>
        <v>0</v>
      </c>
      <c r="AA99" s="18" t="n">
        <f aca="false">IF(F99=0,0,ROUND(T99*1440+F$3*60,0)/1440)</f>
        <v>0</v>
      </c>
      <c r="AB99" s="18" t="n">
        <f aca="false">IF(G99=0,0,ROUND(U99*1440+G$3*60,0)/1440)</f>
        <v>0</v>
      </c>
      <c r="AC99" s="18" t="n">
        <f aca="false">IF(H99=0,0,ROUND(V99*1440+H$3*60,0)/1440)</f>
        <v>0</v>
      </c>
      <c r="AD99" s="18" t="n">
        <f aca="false">IF(I99=0,0,ROUND(W99*1440+I$3*60,0)/1440)</f>
        <v>0</v>
      </c>
      <c r="AE99" s="18" t="n">
        <f aca="false">IF(J99=0,0,ROUND(X99*1440+J$3*60,0)/1440)</f>
        <v>0</v>
      </c>
      <c r="AF99" s="18" t="n">
        <f aca="false">IF(K99=0,0,ROUND(Y99*1440+K$3*60,0)/1440)</f>
        <v>0</v>
      </c>
      <c r="AG99" s="18" t="n">
        <f aca="false">IF(L99=0,0,ROUND(Z99*1440+L$3*60,0)/1440)</f>
        <v>0</v>
      </c>
      <c r="AH99" s="19" t="n">
        <f aca="false">SUMPRODUCT((MOD(AO$1:AU$1-0,7)&lt;Inputs!$B$6)*AO$2:AU$2*(AO98:AU98+1))*100+MOD(0-5,7)</f>
        <v>1602</v>
      </c>
      <c r="AI99" s="19" t="n">
        <f aca="false">SUMPRODUCT((MOD(AO$1:AU$1-1,7)&lt;Inputs!$B$6)*AO$2:AU$2*(AO98:AU98+1))*100+MOD(1-5,7)</f>
        <v>1403</v>
      </c>
      <c r="AJ99" s="19" t="n">
        <f aca="false">SUMPRODUCT((MOD(AO$1:AU$1-2,7)&lt;Inputs!$B$6)*AO$2:AU$2*(AO98:AU98+1))*100+MOD(2-5,7)</f>
        <v>1404</v>
      </c>
      <c r="AK99" s="19" t="n">
        <f aca="false">SUMPRODUCT((MOD(AO$1:AU$1-3,7)&lt;Inputs!$B$6)*AO$2:AU$2*(AO98:AU98+1))*100+MOD(3-5,7)</f>
        <v>1405</v>
      </c>
      <c r="AL99" s="19" t="n">
        <f aca="false">SUMPRODUCT((MOD(AO$1:AU$1-4,7)&lt;Inputs!$B$6)*AO$2:AU$2*(AO98:AU98+1))*100+MOD(4-5,7)</f>
        <v>1406</v>
      </c>
      <c r="AM99" s="19" t="n">
        <f aca="false">SUMPRODUCT((MOD(AO$1:AU$1-5,7)&lt;Inputs!$B$6)*AO$2:AU$2*(AO98:AU98+1))*100+MOD(5-5,7)</f>
        <v>1800</v>
      </c>
      <c r="AN99" s="19" t="n">
        <f aca="false">SUMPRODUCT((MOD(AO$1:AU$1-6,7)&lt;Inputs!$B$6)*AO$2:AU$2*(AO98:AU98+1))*100+MOD(6-5,7)</f>
        <v>1801</v>
      </c>
      <c r="AO99" s="19" t="n">
        <f aca="false">AO98+IF($B99=1,IF(MOD(0-$D99,7)&lt;Inputs!$B$6,1,0),0)</f>
        <v>3</v>
      </c>
      <c r="AP99" s="19" t="n">
        <f aca="false">AP98+IF($B99=1,IF(MOD(1-$D99,7)&lt;Inputs!$B$6,1,0),0)</f>
        <v>3</v>
      </c>
      <c r="AQ99" s="19" t="n">
        <f aca="false">AQ98+IF($B99=1,IF(MOD(2-$D99,7)&lt;Inputs!$B$6,1,0),0)</f>
        <v>2</v>
      </c>
      <c r="AR99" s="19" t="n">
        <f aca="false">AR98+IF($B99=1,IF(MOD(3-$D99,7)&lt;Inputs!$B$6,1,0),0)</f>
        <v>3</v>
      </c>
      <c r="AS99" s="19" t="n">
        <f aca="false">AS98+IF($B99=1,IF(MOD(4-$D99,7)&lt;Inputs!$B$6,1,0),0)</f>
        <v>2</v>
      </c>
      <c r="AT99" s="19" t="n">
        <f aca="false">AT98+IF($B99=1,IF(MOD(5-$D99,7)&lt;Inputs!$B$6,1,0),0)</f>
        <v>3</v>
      </c>
      <c r="AU99" s="19" t="n">
        <f aca="false">AU98+IF($B99=1,IF(MOD(6-$D99,7)&lt;Inputs!$B$6,1,0),0)</f>
        <v>4</v>
      </c>
    </row>
    <row r="100" customFormat="false" ht="15" hidden="false" customHeight="false" outlineLevel="0" collapsed="false">
      <c r="A100" s="0" t="n">
        <v>95</v>
      </c>
      <c r="B100" s="0" t="n">
        <f aca="false">IF(A100&lt;=Inputs!$B$3,1,0)</f>
        <v>0</v>
      </c>
      <c r="C100" s="0" t="n">
        <f aca="false">MOD(5+MOD(A100-1,7),7)</f>
        <v>1</v>
      </c>
      <c r="D100" s="0" t="n">
        <f aca="false">IF(Inputs!C117&lt;&gt;"",MATCH(Inputs!C117,Inputs!$A$11:$A$17,0)-1,IF(B100=0,0,MATCH(MIN(AH100:AN100),AH100:AN100,0)-1))</f>
        <v>0</v>
      </c>
      <c r="F100" s="0" t="n">
        <f aca="false">IF(OR($B100=0,F$3=0),0,IF(MOD(0-$D100,7)&lt;Inputs!$B$6,0,1))</f>
        <v>0</v>
      </c>
      <c r="G100" s="0" t="n">
        <f aca="false">IF(OR($B100=0,G$3=0),0,IF(MOD(1-$D100,7)&lt;Inputs!$B$6,0,1))</f>
        <v>0</v>
      </c>
      <c r="H100" s="0" t="n">
        <f aca="false">IF(OR($B100=0,H$3=0),0,IF(MOD(2-$D100,7)&lt;Inputs!$B$6,0,1))</f>
        <v>0</v>
      </c>
      <c r="I100" s="0" t="n">
        <f aca="false">IF(OR($B100=0,I$3=0),0,IF(MOD(3-$D100,7)&lt;Inputs!$B$6,0,1))</f>
        <v>0</v>
      </c>
      <c r="J100" s="0" t="n">
        <f aca="false">IF(OR($B100=0,J$3=0),0,IF(MOD(4-$D100,7)&lt;Inputs!$B$6,0,1))</f>
        <v>0</v>
      </c>
      <c r="K100" s="0" t="n">
        <f aca="false">IF(OR($B100=0,K$3=0),0,IF(MOD(5-$D100,7)&lt;Inputs!$B$6,0,1))</f>
        <v>0</v>
      </c>
      <c r="L100" s="0" t="n">
        <f aca="false">IF(OR($B100=0,L$3=0),0,IF(MOD(6-$D100,7)&lt;Inputs!$B$6,0,1))</f>
        <v>0</v>
      </c>
      <c r="M100" s="0" t="n">
        <f aca="false">SUM(F$6:F100)</f>
        <v>7</v>
      </c>
      <c r="N100" s="0" t="n">
        <f aca="false">SUM(G$6:G100)</f>
        <v>7</v>
      </c>
      <c r="O100" s="0" t="n">
        <f aca="false">SUM(H$6:H100)</f>
        <v>8</v>
      </c>
      <c r="P100" s="0" t="n">
        <f aca="false">SUM(I$6:I100)</f>
        <v>7</v>
      </c>
      <c r="Q100" s="0" t="n">
        <f aca="false">SUM(J$6:J100)</f>
        <v>8</v>
      </c>
      <c r="R100" s="0" t="n">
        <f aca="false">SUM(K$6:K100)</f>
        <v>7</v>
      </c>
      <c r="S100" s="0" t="n">
        <f aca="false">SUM(L$6:L100)</f>
        <v>6</v>
      </c>
      <c r="T100" s="18" t="n">
        <f aca="false">IF(F100=0,0,IF(Inputs!$D117="Open",F$1,IF(Inputs!$D117="Close",ROUND(F$2*1440-F$3*60,0)/1440,IF(OR(INT((M100-1)/Inputs!$B$7)=0,(INT((M$3-1-MOD(M100-1,Inputs!$B$7))/Inputs!$B$7)+1)&lt;=1),F$1,IF(INT((M100-1)/Inputs!$B$7)&gt;=(INT((M$3-1-MOD(M100-1,Inputs!$B$7))/Inputs!$B$7)+1)-1,ROUND(F$2*1440-F$3*60,0)/1440,MAX(F$1,MIN(ROUND(F$2*1440-F$3*60,0)/1440,ROUND((F$1+INT((M100-1)/Inputs!$B$7)/((INT((M$3-1-MOD(M100-1,Inputs!$B$7))/Inputs!$B$7)+1)-1)*((ROUND(F$2*1440-F$3*60,0)/1440)-F$1))*96,0)/96)))))))</f>
        <v>0</v>
      </c>
      <c r="U100" s="18" t="n">
        <f aca="false">IF(G100=0,0,IF(Inputs!$D117="Open",G$1,IF(Inputs!$D117="Close",ROUND(G$2*1440-G$3*60,0)/1440,IF(OR(INT((N100-1)/Inputs!$B$7)=0,(INT((N$3-1-MOD(N100-1,Inputs!$B$7))/Inputs!$B$7)+1)&lt;=1),G$1,IF(INT((N100-1)/Inputs!$B$7)&gt;=(INT((N$3-1-MOD(N100-1,Inputs!$B$7))/Inputs!$B$7)+1)-1,ROUND(G$2*1440-G$3*60,0)/1440,MAX(G$1,MIN(ROUND(G$2*1440-G$3*60,0)/1440,ROUND((G$1+INT((N100-1)/Inputs!$B$7)/((INT((N$3-1-MOD(N100-1,Inputs!$B$7))/Inputs!$B$7)+1)-1)*((ROUND(G$2*1440-G$3*60,0)/1440)-G$1))*96,0)/96)))))))</f>
        <v>0</v>
      </c>
      <c r="V100" s="18" t="n">
        <f aca="false">IF(H100=0,0,IF(Inputs!$D117="Open",H$1,IF(Inputs!$D117="Close",ROUND(H$2*1440-H$3*60,0)/1440,IF(OR(INT((O100-1)/Inputs!$B$7)=0,(INT((O$3-1-MOD(O100-1,Inputs!$B$7))/Inputs!$B$7)+1)&lt;=1),H$1,IF(INT((O100-1)/Inputs!$B$7)&gt;=(INT((O$3-1-MOD(O100-1,Inputs!$B$7))/Inputs!$B$7)+1)-1,ROUND(H$2*1440-H$3*60,0)/1440,MAX(H$1,MIN(ROUND(H$2*1440-H$3*60,0)/1440,ROUND((H$1+INT((O100-1)/Inputs!$B$7)/((INT((O$3-1-MOD(O100-1,Inputs!$B$7))/Inputs!$B$7)+1)-1)*((ROUND(H$2*1440-H$3*60,0)/1440)-H$1))*96,0)/96)))))))</f>
        <v>0</v>
      </c>
      <c r="W100" s="18" t="n">
        <f aca="false">IF(I100=0,0,IF(Inputs!$D117="Open",I$1,IF(Inputs!$D117="Close",ROUND(I$2*1440-I$3*60,0)/1440,IF(OR(INT((P100-1)/Inputs!$B$7)=0,(INT((P$3-1-MOD(P100-1,Inputs!$B$7))/Inputs!$B$7)+1)&lt;=1),I$1,IF(INT((P100-1)/Inputs!$B$7)&gt;=(INT((P$3-1-MOD(P100-1,Inputs!$B$7))/Inputs!$B$7)+1)-1,ROUND(I$2*1440-I$3*60,0)/1440,MAX(I$1,MIN(ROUND(I$2*1440-I$3*60,0)/1440,ROUND((I$1+INT((P100-1)/Inputs!$B$7)/((INT((P$3-1-MOD(P100-1,Inputs!$B$7))/Inputs!$B$7)+1)-1)*((ROUND(I$2*1440-I$3*60,0)/1440)-I$1))*96,0)/96)))))))</f>
        <v>0</v>
      </c>
      <c r="X100" s="18" t="n">
        <f aca="false">IF(J100=0,0,IF(Inputs!$D117="Open",J$1,IF(Inputs!$D117="Close",ROUND(J$2*1440-J$3*60,0)/1440,IF(OR(INT((Q100-1)/Inputs!$B$7)=0,(INT((Q$3-1-MOD(Q100-1,Inputs!$B$7))/Inputs!$B$7)+1)&lt;=1),J$1,IF(INT((Q100-1)/Inputs!$B$7)&gt;=(INT((Q$3-1-MOD(Q100-1,Inputs!$B$7))/Inputs!$B$7)+1)-1,ROUND(J$2*1440-J$3*60,0)/1440,MAX(J$1,MIN(ROUND(J$2*1440-J$3*60,0)/1440,ROUND((J$1+INT((Q100-1)/Inputs!$B$7)/((INT((Q$3-1-MOD(Q100-1,Inputs!$B$7))/Inputs!$B$7)+1)-1)*((ROUND(J$2*1440-J$3*60,0)/1440)-J$1))*96,0)/96)))))))</f>
        <v>0</v>
      </c>
      <c r="Y100" s="18" t="n">
        <f aca="false">IF(K100=0,0,IF(Inputs!$D117="Open",K$1,IF(Inputs!$D117="Close",ROUND(K$2*1440-K$3*60,0)/1440,IF(OR(INT((R100-1)/Inputs!$B$7)=0,(INT((R$3-1-MOD(R100-1,Inputs!$B$7))/Inputs!$B$7)+1)&lt;=1),K$1,IF(INT((R100-1)/Inputs!$B$7)&gt;=(INT((R$3-1-MOD(R100-1,Inputs!$B$7))/Inputs!$B$7)+1)-1,ROUND(K$2*1440-K$3*60,0)/1440,MAX(K$1,MIN(ROUND(K$2*1440-K$3*60,0)/1440,ROUND((K$1+INT((R100-1)/Inputs!$B$7)/((INT((R$3-1-MOD(R100-1,Inputs!$B$7))/Inputs!$B$7)+1)-1)*((ROUND(K$2*1440-K$3*60,0)/1440)-K$1))*96,0)/96)))))))</f>
        <v>0</v>
      </c>
      <c r="Z100" s="18" t="n">
        <f aca="false">IF(L100=0,0,IF(Inputs!$D117="Open",L$1,IF(Inputs!$D117="Close",ROUND(L$2*1440-L$3*60,0)/1440,IF(OR(INT((S100-1)/Inputs!$B$7)=0,(INT((S$3-1-MOD(S100-1,Inputs!$B$7))/Inputs!$B$7)+1)&lt;=1),L$1,IF(INT((S100-1)/Inputs!$B$7)&gt;=(INT((S$3-1-MOD(S100-1,Inputs!$B$7))/Inputs!$B$7)+1)-1,ROUND(L$2*1440-L$3*60,0)/1440,MAX(L$1,MIN(ROUND(L$2*1440-L$3*60,0)/1440,ROUND((L$1+INT((S100-1)/Inputs!$B$7)/((INT((S$3-1-MOD(S100-1,Inputs!$B$7))/Inputs!$B$7)+1)-1)*((ROUND(L$2*1440-L$3*60,0)/1440)-L$1))*96,0)/96)))))))</f>
        <v>0</v>
      </c>
      <c r="AA100" s="18" t="n">
        <f aca="false">IF(F100=0,0,ROUND(T100*1440+F$3*60,0)/1440)</f>
        <v>0</v>
      </c>
      <c r="AB100" s="18" t="n">
        <f aca="false">IF(G100=0,0,ROUND(U100*1440+G$3*60,0)/1440)</f>
        <v>0</v>
      </c>
      <c r="AC100" s="18" t="n">
        <f aca="false">IF(H100=0,0,ROUND(V100*1440+H$3*60,0)/1440)</f>
        <v>0</v>
      </c>
      <c r="AD100" s="18" t="n">
        <f aca="false">IF(I100=0,0,ROUND(W100*1440+I$3*60,0)/1440)</f>
        <v>0</v>
      </c>
      <c r="AE100" s="18" t="n">
        <f aca="false">IF(J100=0,0,ROUND(X100*1440+J$3*60,0)/1440)</f>
        <v>0</v>
      </c>
      <c r="AF100" s="18" t="n">
        <f aca="false">IF(K100=0,0,ROUND(Y100*1440+K$3*60,0)/1440)</f>
        <v>0</v>
      </c>
      <c r="AG100" s="18" t="n">
        <f aca="false">IF(L100=0,0,ROUND(Z100*1440+L$3*60,0)/1440)</f>
        <v>0</v>
      </c>
      <c r="AH100" s="19" t="n">
        <f aca="false">SUMPRODUCT((MOD(AO$1:AU$1-0,7)&lt;Inputs!$B$6)*AO$2:AU$2*(AO99:AU99+1))*100+MOD(0-5,7)</f>
        <v>1602</v>
      </c>
      <c r="AI100" s="19" t="n">
        <f aca="false">SUMPRODUCT((MOD(AO$1:AU$1-1,7)&lt;Inputs!$B$6)*AO$2:AU$2*(AO99:AU99+1))*100+MOD(1-5,7)</f>
        <v>1403</v>
      </c>
      <c r="AJ100" s="19" t="n">
        <f aca="false">SUMPRODUCT((MOD(AO$1:AU$1-2,7)&lt;Inputs!$B$6)*AO$2:AU$2*(AO99:AU99+1))*100+MOD(2-5,7)</f>
        <v>1404</v>
      </c>
      <c r="AK100" s="19" t="n">
        <f aca="false">SUMPRODUCT((MOD(AO$1:AU$1-3,7)&lt;Inputs!$B$6)*AO$2:AU$2*(AO99:AU99+1))*100+MOD(3-5,7)</f>
        <v>1405</v>
      </c>
      <c r="AL100" s="19" t="n">
        <f aca="false">SUMPRODUCT((MOD(AO$1:AU$1-4,7)&lt;Inputs!$B$6)*AO$2:AU$2*(AO99:AU99+1))*100+MOD(4-5,7)</f>
        <v>1406</v>
      </c>
      <c r="AM100" s="19" t="n">
        <f aca="false">SUMPRODUCT((MOD(AO$1:AU$1-5,7)&lt;Inputs!$B$6)*AO$2:AU$2*(AO99:AU99+1))*100+MOD(5-5,7)</f>
        <v>1800</v>
      </c>
      <c r="AN100" s="19" t="n">
        <f aca="false">SUMPRODUCT((MOD(AO$1:AU$1-6,7)&lt;Inputs!$B$6)*AO$2:AU$2*(AO99:AU99+1))*100+MOD(6-5,7)</f>
        <v>1801</v>
      </c>
      <c r="AO100" s="19" t="n">
        <f aca="false">AO99+IF($B100=1,IF(MOD(0-$D100,7)&lt;Inputs!$B$6,1,0),0)</f>
        <v>3</v>
      </c>
      <c r="AP100" s="19" t="n">
        <f aca="false">AP99+IF($B100=1,IF(MOD(1-$D100,7)&lt;Inputs!$B$6,1,0),0)</f>
        <v>3</v>
      </c>
      <c r="AQ100" s="19" t="n">
        <f aca="false">AQ99+IF($B100=1,IF(MOD(2-$D100,7)&lt;Inputs!$B$6,1,0),0)</f>
        <v>2</v>
      </c>
      <c r="AR100" s="19" t="n">
        <f aca="false">AR99+IF($B100=1,IF(MOD(3-$D100,7)&lt;Inputs!$B$6,1,0),0)</f>
        <v>3</v>
      </c>
      <c r="AS100" s="19" t="n">
        <f aca="false">AS99+IF($B100=1,IF(MOD(4-$D100,7)&lt;Inputs!$B$6,1,0),0)</f>
        <v>2</v>
      </c>
      <c r="AT100" s="19" t="n">
        <f aca="false">AT99+IF($B100=1,IF(MOD(5-$D100,7)&lt;Inputs!$B$6,1,0),0)</f>
        <v>3</v>
      </c>
      <c r="AU100" s="19" t="n">
        <f aca="false">AU99+IF($B100=1,IF(MOD(6-$D100,7)&lt;Inputs!$B$6,1,0),0)</f>
        <v>4</v>
      </c>
    </row>
    <row r="101" customFormat="false" ht="15" hidden="false" customHeight="false" outlineLevel="0" collapsed="false">
      <c r="A101" s="0" t="n">
        <v>96</v>
      </c>
      <c r="B101" s="0" t="n">
        <f aca="false">IF(A101&lt;=Inputs!$B$3,1,0)</f>
        <v>0</v>
      </c>
      <c r="C101" s="0" t="n">
        <f aca="false">MOD(5+MOD(A101-1,7),7)</f>
        <v>2</v>
      </c>
      <c r="D101" s="0" t="n">
        <f aca="false">IF(Inputs!C118&lt;&gt;"",MATCH(Inputs!C118,Inputs!$A$11:$A$17,0)-1,IF(B101=0,0,MATCH(MIN(AH101:AN101),AH101:AN101,0)-1))</f>
        <v>0</v>
      </c>
      <c r="F101" s="0" t="n">
        <f aca="false">IF(OR($B101=0,F$3=0),0,IF(MOD(0-$D101,7)&lt;Inputs!$B$6,0,1))</f>
        <v>0</v>
      </c>
      <c r="G101" s="0" t="n">
        <f aca="false">IF(OR($B101=0,G$3=0),0,IF(MOD(1-$D101,7)&lt;Inputs!$B$6,0,1))</f>
        <v>0</v>
      </c>
      <c r="H101" s="0" t="n">
        <f aca="false">IF(OR($B101=0,H$3=0),0,IF(MOD(2-$D101,7)&lt;Inputs!$B$6,0,1))</f>
        <v>0</v>
      </c>
      <c r="I101" s="0" t="n">
        <f aca="false">IF(OR($B101=0,I$3=0),0,IF(MOD(3-$D101,7)&lt;Inputs!$B$6,0,1))</f>
        <v>0</v>
      </c>
      <c r="J101" s="0" t="n">
        <f aca="false">IF(OR($B101=0,J$3=0),0,IF(MOD(4-$D101,7)&lt;Inputs!$B$6,0,1))</f>
        <v>0</v>
      </c>
      <c r="K101" s="0" t="n">
        <f aca="false">IF(OR($B101=0,K$3=0),0,IF(MOD(5-$D101,7)&lt;Inputs!$B$6,0,1))</f>
        <v>0</v>
      </c>
      <c r="L101" s="0" t="n">
        <f aca="false">IF(OR($B101=0,L$3=0),0,IF(MOD(6-$D101,7)&lt;Inputs!$B$6,0,1))</f>
        <v>0</v>
      </c>
      <c r="M101" s="0" t="n">
        <f aca="false">SUM(F$6:F101)</f>
        <v>7</v>
      </c>
      <c r="N101" s="0" t="n">
        <f aca="false">SUM(G$6:G101)</f>
        <v>7</v>
      </c>
      <c r="O101" s="0" t="n">
        <f aca="false">SUM(H$6:H101)</f>
        <v>8</v>
      </c>
      <c r="P101" s="0" t="n">
        <f aca="false">SUM(I$6:I101)</f>
        <v>7</v>
      </c>
      <c r="Q101" s="0" t="n">
        <f aca="false">SUM(J$6:J101)</f>
        <v>8</v>
      </c>
      <c r="R101" s="0" t="n">
        <f aca="false">SUM(K$6:K101)</f>
        <v>7</v>
      </c>
      <c r="S101" s="0" t="n">
        <f aca="false">SUM(L$6:L101)</f>
        <v>6</v>
      </c>
      <c r="T101" s="18" t="n">
        <f aca="false">IF(F101=0,0,IF(Inputs!$D118="Open",F$1,IF(Inputs!$D118="Close",ROUND(F$2*1440-F$3*60,0)/1440,IF(OR(INT((M101-1)/Inputs!$B$7)=0,(INT((M$3-1-MOD(M101-1,Inputs!$B$7))/Inputs!$B$7)+1)&lt;=1),F$1,IF(INT((M101-1)/Inputs!$B$7)&gt;=(INT((M$3-1-MOD(M101-1,Inputs!$B$7))/Inputs!$B$7)+1)-1,ROUND(F$2*1440-F$3*60,0)/1440,MAX(F$1,MIN(ROUND(F$2*1440-F$3*60,0)/1440,ROUND((F$1+INT((M101-1)/Inputs!$B$7)/((INT((M$3-1-MOD(M101-1,Inputs!$B$7))/Inputs!$B$7)+1)-1)*((ROUND(F$2*1440-F$3*60,0)/1440)-F$1))*96,0)/96)))))))</f>
        <v>0</v>
      </c>
      <c r="U101" s="18" t="n">
        <f aca="false">IF(G101=0,0,IF(Inputs!$D118="Open",G$1,IF(Inputs!$D118="Close",ROUND(G$2*1440-G$3*60,0)/1440,IF(OR(INT((N101-1)/Inputs!$B$7)=0,(INT((N$3-1-MOD(N101-1,Inputs!$B$7))/Inputs!$B$7)+1)&lt;=1),G$1,IF(INT((N101-1)/Inputs!$B$7)&gt;=(INT((N$3-1-MOD(N101-1,Inputs!$B$7))/Inputs!$B$7)+1)-1,ROUND(G$2*1440-G$3*60,0)/1440,MAX(G$1,MIN(ROUND(G$2*1440-G$3*60,0)/1440,ROUND((G$1+INT((N101-1)/Inputs!$B$7)/((INT((N$3-1-MOD(N101-1,Inputs!$B$7))/Inputs!$B$7)+1)-1)*((ROUND(G$2*1440-G$3*60,0)/1440)-G$1))*96,0)/96)))))))</f>
        <v>0</v>
      </c>
      <c r="V101" s="18" t="n">
        <f aca="false">IF(H101=0,0,IF(Inputs!$D118="Open",H$1,IF(Inputs!$D118="Close",ROUND(H$2*1440-H$3*60,0)/1440,IF(OR(INT((O101-1)/Inputs!$B$7)=0,(INT((O$3-1-MOD(O101-1,Inputs!$B$7))/Inputs!$B$7)+1)&lt;=1),H$1,IF(INT((O101-1)/Inputs!$B$7)&gt;=(INT((O$3-1-MOD(O101-1,Inputs!$B$7))/Inputs!$B$7)+1)-1,ROUND(H$2*1440-H$3*60,0)/1440,MAX(H$1,MIN(ROUND(H$2*1440-H$3*60,0)/1440,ROUND((H$1+INT((O101-1)/Inputs!$B$7)/((INT((O$3-1-MOD(O101-1,Inputs!$B$7))/Inputs!$B$7)+1)-1)*((ROUND(H$2*1440-H$3*60,0)/1440)-H$1))*96,0)/96)))))))</f>
        <v>0</v>
      </c>
      <c r="W101" s="18" t="n">
        <f aca="false">IF(I101=0,0,IF(Inputs!$D118="Open",I$1,IF(Inputs!$D118="Close",ROUND(I$2*1440-I$3*60,0)/1440,IF(OR(INT((P101-1)/Inputs!$B$7)=0,(INT((P$3-1-MOD(P101-1,Inputs!$B$7))/Inputs!$B$7)+1)&lt;=1),I$1,IF(INT((P101-1)/Inputs!$B$7)&gt;=(INT((P$3-1-MOD(P101-1,Inputs!$B$7))/Inputs!$B$7)+1)-1,ROUND(I$2*1440-I$3*60,0)/1440,MAX(I$1,MIN(ROUND(I$2*1440-I$3*60,0)/1440,ROUND((I$1+INT((P101-1)/Inputs!$B$7)/((INT((P$3-1-MOD(P101-1,Inputs!$B$7))/Inputs!$B$7)+1)-1)*((ROUND(I$2*1440-I$3*60,0)/1440)-I$1))*96,0)/96)))))))</f>
        <v>0</v>
      </c>
      <c r="X101" s="18" t="n">
        <f aca="false">IF(J101=0,0,IF(Inputs!$D118="Open",J$1,IF(Inputs!$D118="Close",ROUND(J$2*1440-J$3*60,0)/1440,IF(OR(INT((Q101-1)/Inputs!$B$7)=0,(INT((Q$3-1-MOD(Q101-1,Inputs!$B$7))/Inputs!$B$7)+1)&lt;=1),J$1,IF(INT((Q101-1)/Inputs!$B$7)&gt;=(INT((Q$3-1-MOD(Q101-1,Inputs!$B$7))/Inputs!$B$7)+1)-1,ROUND(J$2*1440-J$3*60,0)/1440,MAX(J$1,MIN(ROUND(J$2*1440-J$3*60,0)/1440,ROUND((J$1+INT((Q101-1)/Inputs!$B$7)/((INT((Q$3-1-MOD(Q101-1,Inputs!$B$7))/Inputs!$B$7)+1)-1)*((ROUND(J$2*1440-J$3*60,0)/1440)-J$1))*96,0)/96)))))))</f>
        <v>0</v>
      </c>
      <c r="Y101" s="18" t="n">
        <f aca="false">IF(K101=0,0,IF(Inputs!$D118="Open",K$1,IF(Inputs!$D118="Close",ROUND(K$2*1440-K$3*60,0)/1440,IF(OR(INT((R101-1)/Inputs!$B$7)=0,(INT((R$3-1-MOD(R101-1,Inputs!$B$7))/Inputs!$B$7)+1)&lt;=1),K$1,IF(INT((R101-1)/Inputs!$B$7)&gt;=(INT((R$3-1-MOD(R101-1,Inputs!$B$7))/Inputs!$B$7)+1)-1,ROUND(K$2*1440-K$3*60,0)/1440,MAX(K$1,MIN(ROUND(K$2*1440-K$3*60,0)/1440,ROUND((K$1+INT((R101-1)/Inputs!$B$7)/((INT((R$3-1-MOD(R101-1,Inputs!$B$7))/Inputs!$B$7)+1)-1)*((ROUND(K$2*1440-K$3*60,0)/1440)-K$1))*96,0)/96)))))))</f>
        <v>0</v>
      </c>
      <c r="Z101" s="18" t="n">
        <f aca="false">IF(L101=0,0,IF(Inputs!$D118="Open",L$1,IF(Inputs!$D118="Close",ROUND(L$2*1440-L$3*60,0)/1440,IF(OR(INT((S101-1)/Inputs!$B$7)=0,(INT((S$3-1-MOD(S101-1,Inputs!$B$7))/Inputs!$B$7)+1)&lt;=1),L$1,IF(INT((S101-1)/Inputs!$B$7)&gt;=(INT((S$3-1-MOD(S101-1,Inputs!$B$7))/Inputs!$B$7)+1)-1,ROUND(L$2*1440-L$3*60,0)/1440,MAX(L$1,MIN(ROUND(L$2*1440-L$3*60,0)/1440,ROUND((L$1+INT((S101-1)/Inputs!$B$7)/((INT((S$3-1-MOD(S101-1,Inputs!$B$7))/Inputs!$B$7)+1)-1)*((ROUND(L$2*1440-L$3*60,0)/1440)-L$1))*96,0)/96)))))))</f>
        <v>0</v>
      </c>
      <c r="AA101" s="18" t="n">
        <f aca="false">IF(F101=0,0,ROUND(T101*1440+F$3*60,0)/1440)</f>
        <v>0</v>
      </c>
      <c r="AB101" s="18" t="n">
        <f aca="false">IF(G101=0,0,ROUND(U101*1440+G$3*60,0)/1440)</f>
        <v>0</v>
      </c>
      <c r="AC101" s="18" t="n">
        <f aca="false">IF(H101=0,0,ROUND(V101*1440+H$3*60,0)/1440)</f>
        <v>0</v>
      </c>
      <c r="AD101" s="18" t="n">
        <f aca="false">IF(I101=0,0,ROUND(W101*1440+I$3*60,0)/1440)</f>
        <v>0</v>
      </c>
      <c r="AE101" s="18" t="n">
        <f aca="false">IF(J101=0,0,ROUND(X101*1440+J$3*60,0)/1440)</f>
        <v>0</v>
      </c>
      <c r="AF101" s="18" t="n">
        <f aca="false">IF(K101=0,0,ROUND(Y101*1440+K$3*60,0)/1440)</f>
        <v>0</v>
      </c>
      <c r="AG101" s="18" t="n">
        <f aca="false">IF(L101=0,0,ROUND(Z101*1440+L$3*60,0)/1440)</f>
        <v>0</v>
      </c>
      <c r="AH101" s="19" t="n">
        <f aca="false">SUMPRODUCT((MOD(AO$1:AU$1-0,7)&lt;Inputs!$B$6)*AO$2:AU$2*(AO100:AU100+1))*100+MOD(0-5,7)</f>
        <v>1602</v>
      </c>
      <c r="AI101" s="19" t="n">
        <f aca="false">SUMPRODUCT((MOD(AO$1:AU$1-1,7)&lt;Inputs!$B$6)*AO$2:AU$2*(AO100:AU100+1))*100+MOD(1-5,7)</f>
        <v>1403</v>
      </c>
      <c r="AJ101" s="19" t="n">
        <f aca="false">SUMPRODUCT((MOD(AO$1:AU$1-2,7)&lt;Inputs!$B$6)*AO$2:AU$2*(AO100:AU100+1))*100+MOD(2-5,7)</f>
        <v>1404</v>
      </c>
      <c r="AK101" s="19" t="n">
        <f aca="false">SUMPRODUCT((MOD(AO$1:AU$1-3,7)&lt;Inputs!$B$6)*AO$2:AU$2*(AO100:AU100+1))*100+MOD(3-5,7)</f>
        <v>1405</v>
      </c>
      <c r="AL101" s="19" t="n">
        <f aca="false">SUMPRODUCT((MOD(AO$1:AU$1-4,7)&lt;Inputs!$B$6)*AO$2:AU$2*(AO100:AU100+1))*100+MOD(4-5,7)</f>
        <v>1406</v>
      </c>
      <c r="AM101" s="19" t="n">
        <f aca="false">SUMPRODUCT((MOD(AO$1:AU$1-5,7)&lt;Inputs!$B$6)*AO$2:AU$2*(AO100:AU100+1))*100+MOD(5-5,7)</f>
        <v>1800</v>
      </c>
      <c r="AN101" s="19" t="n">
        <f aca="false">SUMPRODUCT((MOD(AO$1:AU$1-6,7)&lt;Inputs!$B$6)*AO$2:AU$2*(AO100:AU100+1))*100+MOD(6-5,7)</f>
        <v>1801</v>
      </c>
      <c r="AO101" s="19" t="n">
        <f aca="false">AO100+IF($B101=1,IF(MOD(0-$D101,7)&lt;Inputs!$B$6,1,0),0)</f>
        <v>3</v>
      </c>
      <c r="AP101" s="19" t="n">
        <f aca="false">AP100+IF($B101=1,IF(MOD(1-$D101,7)&lt;Inputs!$B$6,1,0),0)</f>
        <v>3</v>
      </c>
      <c r="AQ101" s="19" t="n">
        <f aca="false">AQ100+IF($B101=1,IF(MOD(2-$D101,7)&lt;Inputs!$B$6,1,0),0)</f>
        <v>2</v>
      </c>
      <c r="AR101" s="19" t="n">
        <f aca="false">AR100+IF($B101=1,IF(MOD(3-$D101,7)&lt;Inputs!$B$6,1,0),0)</f>
        <v>3</v>
      </c>
      <c r="AS101" s="19" t="n">
        <f aca="false">AS100+IF($B101=1,IF(MOD(4-$D101,7)&lt;Inputs!$B$6,1,0),0)</f>
        <v>2</v>
      </c>
      <c r="AT101" s="19" t="n">
        <f aca="false">AT100+IF($B101=1,IF(MOD(5-$D101,7)&lt;Inputs!$B$6,1,0),0)</f>
        <v>3</v>
      </c>
      <c r="AU101" s="19" t="n">
        <f aca="false">AU100+IF($B101=1,IF(MOD(6-$D101,7)&lt;Inputs!$B$6,1,0),0)</f>
        <v>4</v>
      </c>
    </row>
    <row r="102" customFormat="false" ht="15" hidden="false" customHeight="false" outlineLevel="0" collapsed="false">
      <c r="A102" s="0" t="n">
        <v>97</v>
      </c>
      <c r="B102" s="0" t="n">
        <f aca="false">IF(A102&lt;=Inputs!$B$3,1,0)</f>
        <v>0</v>
      </c>
      <c r="C102" s="0" t="n">
        <f aca="false">MOD(5+MOD(A102-1,7),7)</f>
        <v>3</v>
      </c>
      <c r="D102" s="0" t="n">
        <f aca="false">IF(Inputs!C119&lt;&gt;"",MATCH(Inputs!C119,Inputs!$A$11:$A$17,0)-1,IF(B102=0,0,MATCH(MIN(AH102:AN102),AH102:AN102,0)-1))</f>
        <v>0</v>
      </c>
      <c r="F102" s="0" t="n">
        <f aca="false">IF(OR($B102=0,F$3=0),0,IF(MOD(0-$D102,7)&lt;Inputs!$B$6,0,1))</f>
        <v>0</v>
      </c>
      <c r="G102" s="0" t="n">
        <f aca="false">IF(OR($B102=0,G$3=0),0,IF(MOD(1-$D102,7)&lt;Inputs!$B$6,0,1))</f>
        <v>0</v>
      </c>
      <c r="H102" s="0" t="n">
        <f aca="false">IF(OR($B102=0,H$3=0),0,IF(MOD(2-$D102,7)&lt;Inputs!$B$6,0,1))</f>
        <v>0</v>
      </c>
      <c r="I102" s="0" t="n">
        <f aca="false">IF(OR($B102=0,I$3=0),0,IF(MOD(3-$D102,7)&lt;Inputs!$B$6,0,1))</f>
        <v>0</v>
      </c>
      <c r="J102" s="0" t="n">
        <f aca="false">IF(OR($B102=0,J$3=0),0,IF(MOD(4-$D102,7)&lt;Inputs!$B$6,0,1))</f>
        <v>0</v>
      </c>
      <c r="K102" s="0" t="n">
        <f aca="false">IF(OR($B102=0,K$3=0),0,IF(MOD(5-$D102,7)&lt;Inputs!$B$6,0,1))</f>
        <v>0</v>
      </c>
      <c r="L102" s="0" t="n">
        <f aca="false">IF(OR($B102=0,L$3=0),0,IF(MOD(6-$D102,7)&lt;Inputs!$B$6,0,1))</f>
        <v>0</v>
      </c>
      <c r="M102" s="0" t="n">
        <f aca="false">SUM(F$6:F102)</f>
        <v>7</v>
      </c>
      <c r="N102" s="0" t="n">
        <f aca="false">SUM(G$6:G102)</f>
        <v>7</v>
      </c>
      <c r="O102" s="0" t="n">
        <f aca="false">SUM(H$6:H102)</f>
        <v>8</v>
      </c>
      <c r="P102" s="0" t="n">
        <f aca="false">SUM(I$6:I102)</f>
        <v>7</v>
      </c>
      <c r="Q102" s="0" t="n">
        <f aca="false">SUM(J$6:J102)</f>
        <v>8</v>
      </c>
      <c r="R102" s="0" t="n">
        <f aca="false">SUM(K$6:K102)</f>
        <v>7</v>
      </c>
      <c r="S102" s="0" t="n">
        <f aca="false">SUM(L$6:L102)</f>
        <v>6</v>
      </c>
      <c r="T102" s="18" t="n">
        <f aca="false">IF(F102=0,0,IF(Inputs!$D119="Open",F$1,IF(Inputs!$D119="Close",ROUND(F$2*1440-F$3*60,0)/1440,IF(OR(INT((M102-1)/Inputs!$B$7)=0,(INT((M$3-1-MOD(M102-1,Inputs!$B$7))/Inputs!$B$7)+1)&lt;=1),F$1,IF(INT((M102-1)/Inputs!$B$7)&gt;=(INT((M$3-1-MOD(M102-1,Inputs!$B$7))/Inputs!$B$7)+1)-1,ROUND(F$2*1440-F$3*60,0)/1440,MAX(F$1,MIN(ROUND(F$2*1440-F$3*60,0)/1440,ROUND((F$1+INT((M102-1)/Inputs!$B$7)/((INT((M$3-1-MOD(M102-1,Inputs!$B$7))/Inputs!$B$7)+1)-1)*((ROUND(F$2*1440-F$3*60,0)/1440)-F$1))*96,0)/96)))))))</f>
        <v>0</v>
      </c>
      <c r="U102" s="18" t="n">
        <f aca="false">IF(G102=0,0,IF(Inputs!$D119="Open",G$1,IF(Inputs!$D119="Close",ROUND(G$2*1440-G$3*60,0)/1440,IF(OR(INT((N102-1)/Inputs!$B$7)=0,(INT((N$3-1-MOD(N102-1,Inputs!$B$7))/Inputs!$B$7)+1)&lt;=1),G$1,IF(INT((N102-1)/Inputs!$B$7)&gt;=(INT((N$3-1-MOD(N102-1,Inputs!$B$7))/Inputs!$B$7)+1)-1,ROUND(G$2*1440-G$3*60,0)/1440,MAX(G$1,MIN(ROUND(G$2*1440-G$3*60,0)/1440,ROUND((G$1+INT((N102-1)/Inputs!$B$7)/((INT((N$3-1-MOD(N102-1,Inputs!$B$7))/Inputs!$B$7)+1)-1)*((ROUND(G$2*1440-G$3*60,0)/1440)-G$1))*96,0)/96)))))))</f>
        <v>0</v>
      </c>
      <c r="V102" s="18" t="n">
        <f aca="false">IF(H102=0,0,IF(Inputs!$D119="Open",H$1,IF(Inputs!$D119="Close",ROUND(H$2*1440-H$3*60,0)/1440,IF(OR(INT((O102-1)/Inputs!$B$7)=0,(INT((O$3-1-MOD(O102-1,Inputs!$B$7))/Inputs!$B$7)+1)&lt;=1),H$1,IF(INT((O102-1)/Inputs!$B$7)&gt;=(INT((O$3-1-MOD(O102-1,Inputs!$B$7))/Inputs!$B$7)+1)-1,ROUND(H$2*1440-H$3*60,0)/1440,MAX(H$1,MIN(ROUND(H$2*1440-H$3*60,0)/1440,ROUND((H$1+INT((O102-1)/Inputs!$B$7)/((INT((O$3-1-MOD(O102-1,Inputs!$B$7))/Inputs!$B$7)+1)-1)*((ROUND(H$2*1440-H$3*60,0)/1440)-H$1))*96,0)/96)))))))</f>
        <v>0</v>
      </c>
      <c r="W102" s="18" t="n">
        <f aca="false">IF(I102=0,0,IF(Inputs!$D119="Open",I$1,IF(Inputs!$D119="Close",ROUND(I$2*1440-I$3*60,0)/1440,IF(OR(INT((P102-1)/Inputs!$B$7)=0,(INT((P$3-1-MOD(P102-1,Inputs!$B$7))/Inputs!$B$7)+1)&lt;=1),I$1,IF(INT((P102-1)/Inputs!$B$7)&gt;=(INT((P$3-1-MOD(P102-1,Inputs!$B$7))/Inputs!$B$7)+1)-1,ROUND(I$2*1440-I$3*60,0)/1440,MAX(I$1,MIN(ROUND(I$2*1440-I$3*60,0)/1440,ROUND((I$1+INT((P102-1)/Inputs!$B$7)/((INT((P$3-1-MOD(P102-1,Inputs!$B$7))/Inputs!$B$7)+1)-1)*((ROUND(I$2*1440-I$3*60,0)/1440)-I$1))*96,0)/96)))))))</f>
        <v>0</v>
      </c>
      <c r="X102" s="18" t="n">
        <f aca="false">IF(J102=0,0,IF(Inputs!$D119="Open",J$1,IF(Inputs!$D119="Close",ROUND(J$2*1440-J$3*60,0)/1440,IF(OR(INT((Q102-1)/Inputs!$B$7)=0,(INT((Q$3-1-MOD(Q102-1,Inputs!$B$7))/Inputs!$B$7)+1)&lt;=1),J$1,IF(INT((Q102-1)/Inputs!$B$7)&gt;=(INT((Q$3-1-MOD(Q102-1,Inputs!$B$7))/Inputs!$B$7)+1)-1,ROUND(J$2*1440-J$3*60,0)/1440,MAX(J$1,MIN(ROUND(J$2*1440-J$3*60,0)/1440,ROUND((J$1+INT((Q102-1)/Inputs!$B$7)/((INT((Q$3-1-MOD(Q102-1,Inputs!$B$7))/Inputs!$B$7)+1)-1)*((ROUND(J$2*1440-J$3*60,0)/1440)-J$1))*96,0)/96)))))))</f>
        <v>0</v>
      </c>
      <c r="Y102" s="18" t="n">
        <f aca="false">IF(K102=0,0,IF(Inputs!$D119="Open",K$1,IF(Inputs!$D119="Close",ROUND(K$2*1440-K$3*60,0)/1440,IF(OR(INT((R102-1)/Inputs!$B$7)=0,(INT((R$3-1-MOD(R102-1,Inputs!$B$7))/Inputs!$B$7)+1)&lt;=1),K$1,IF(INT((R102-1)/Inputs!$B$7)&gt;=(INT((R$3-1-MOD(R102-1,Inputs!$B$7))/Inputs!$B$7)+1)-1,ROUND(K$2*1440-K$3*60,0)/1440,MAX(K$1,MIN(ROUND(K$2*1440-K$3*60,0)/1440,ROUND((K$1+INT((R102-1)/Inputs!$B$7)/((INT((R$3-1-MOD(R102-1,Inputs!$B$7))/Inputs!$B$7)+1)-1)*((ROUND(K$2*1440-K$3*60,0)/1440)-K$1))*96,0)/96)))))))</f>
        <v>0</v>
      </c>
      <c r="Z102" s="18" t="n">
        <f aca="false">IF(L102=0,0,IF(Inputs!$D119="Open",L$1,IF(Inputs!$D119="Close",ROUND(L$2*1440-L$3*60,0)/1440,IF(OR(INT((S102-1)/Inputs!$B$7)=0,(INT((S$3-1-MOD(S102-1,Inputs!$B$7))/Inputs!$B$7)+1)&lt;=1),L$1,IF(INT((S102-1)/Inputs!$B$7)&gt;=(INT((S$3-1-MOD(S102-1,Inputs!$B$7))/Inputs!$B$7)+1)-1,ROUND(L$2*1440-L$3*60,0)/1440,MAX(L$1,MIN(ROUND(L$2*1440-L$3*60,0)/1440,ROUND((L$1+INT((S102-1)/Inputs!$B$7)/((INT((S$3-1-MOD(S102-1,Inputs!$B$7))/Inputs!$B$7)+1)-1)*((ROUND(L$2*1440-L$3*60,0)/1440)-L$1))*96,0)/96)))))))</f>
        <v>0</v>
      </c>
      <c r="AA102" s="18" t="n">
        <f aca="false">IF(F102=0,0,ROUND(T102*1440+F$3*60,0)/1440)</f>
        <v>0</v>
      </c>
      <c r="AB102" s="18" t="n">
        <f aca="false">IF(G102=0,0,ROUND(U102*1440+G$3*60,0)/1440)</f>
        <v>0</v>
      </c>
      <c r="AC102" s="18" t="n">
        <f aca="false">IF(H102=0,0,ROUND(V102*1440+H$3*60,0)/1440)</f>
        <v>0</v>
      </c>
      <c r="AD102" s="18" t="n">
        <f aca="false">IF(I102=0,0,ROUND(W102*1440+I$3*60,0)/1440)</f>
        <v>0</v>
      </c>
      <c r="AE102" s="18" t="n">
        <f aca="false">IF(J102=0,0,ROUND(X102*1440+J$3*60,0)/1440)</f>
        <v>0</v>
      </c>
      <c r="AF102" s="18" t="n">
        <f aca="false">IF(K102=0,0,ROUND(Y102*1440+K$3*60,0)/1440)</f>
        <v>0</v>
      </c>
      <c r="AG102" s="18" t="n">
        <f aca="false">IF(L102=0,0,ROUND(Z102*1440+L$3*60,0)/1440)</f>
        <v>0</v>
      </c>
      <c r="AH102" s="19" t="n">
        <f aca="false">SUMPRODUCT((MOD(AO$1:AU$1-0,7)&lt;Inputs!$B$6)*AO$2:AU$2*(AO101:AU101+1))*100+MOD(0-5,7)</f>
        <v>1602</v>
      </c>
      <c r="AI102" s="19" t="n">
        <f aca="false">SUMPRODUCT((MOD(AO$1:AU$1-1,7)&lt;Inputs!$B$6)*AO$2:AU$2*(AO101:AU101+1))*100+MOD(1-5,7)</f>
        <v>1403</v>
      </c>
      <c r="AJ102" s="19" t="n">
        <f aca="false">SUMPRODUCT((MOD(AO$1:AU$1-2,7)&lt;Inputs!$B$6)*AO$2:AU$2*(AO101:AU101+1))*100+MOD(2-5,7)</f>
        <v>1404</v>
      </c>
      <c r="AK102" s="19" t="n">
        <f aca="false">SUMPRODUCT((MOD(AO$1:AU$1-3,7)&lt;Inputs!$B$6)*AO$2:AU$2*(AO101:AU101+1))*100+MOD(3-5,7)</f>
        <v>1405</v>
      </c>
      <c r="AL102" s="19" t="n">
        <f aca="false">SUMPRODUCT((MOD(AO$1:AU$1-4,7)&lt;Inputs!$B$6)*AO$2:AU$2*(AO101:AU101+1))*100+MOD(4-5,7)</f>
        <v>1406</v>
      </c>
      <c r="AM102" s="19" t="n">
        <f aca="false">SUMPRODUCT((MOD(AO$1:AU$1-5,7)&lt;Inputs!$B$6)*AO$2:AU$2*(AO101:AU101+1))*100+MOD(5-5,7)</f>
        <v>1800</v>
      </c>
      <c r="AN102" s="19" t="n">
        <f aca="false">SUMPRODUCT((MOD(AO$1:AU$1-6,7)&lt;Inputs!$B$6)*AO$2:AU$2*(AO101:AU101+1))*100+MOD(6-5,7)</f>
        <v>1801</v>
      </c>
      <c r="AO102" s="19" t="n">
        <f aca="false">AO101+IF($B102=1,IF(MOD(0-$D102,7)&lt;Inputs!$B$6,1,0),0)</f>
        <v>3</v>
      </c>
      <c r="AP102" s="19" t="n">
        <f aca="false">AP101+IF($B102=1,IF(MOD(1-$D102,7)&lt;Inputs!$B$6,1,0),0)</f>
        <v>3</v>
      </c>
      <c r="AQ102" s="19" t="n">
        <f aca="false">AQ101+IF($B102=1,IF(MOD(2-$D102,7)&lt;Inputs!$B$6,1,0),0)</f>
        <v>2</v>
      </c>
      <c r="AR102" s="19" t="n">
        <f aca="false">AR101+IF($B102=1,IF(MOD(3-$D102,7)&lt;Inputs!$B$6,1,0),0)</f>
        <v>3</v>
      </c>
      <c r="AS102" s="19" t="n">
        <f aca="false">AS101+IF($B102=1,IF(MOD(4-$D102,7)&lt;Inputs!$B$6,1,0),0)</f>
        <v>2</v>
      </c>
      <c r="AT102" s="19" t="n">
        <f aca="false">AT101+IF($B102=1,IF(MOD(5-$D102,7)&lt;Inputs!$B$6,1,0),0)</f>
        <v>3</v>
      </c>
      <c r="AU102" s="19" t="n">
        <f aca="false">AU101+IF($B102=1,IF(MOD(6-$D102,7)&lt;Inputs!$B$6,1,0),0)</f>
        <v>4</v>
      </c>
    </row>
    <row r="103" customFormat="false" ht="15" hidden="false" customHeight="false" outlineLevel="0" collapsed="false">
      <c r="A103" s="0" t="n">
        <v>98</v>
      </c>
      <c r="B103" s="0" t="n">
        <f aca="false">IF(A103&lt;=Inputs!$B$3,1,0)</f>
        <v>0</v>
      </c>
      <c r="C103" s="0" t="n">
        <f aca="false">MOD(5+MOD(A103-1,7),7)</f>
        <v>4</v>
      </c>
      <c r="D103" s="0" t="n">
        <f aca="false">IF(Inputs!C120&lt;&gt;"",MATCH(Inputs!C120,Inputs!$A$11:$A$17,0)-1,IF(B103=0,0,MATCH(MIN(AH103:AN103),AH103:AN103,0)-1))</f>
        <v>0</v>
      </c>
      <c r="F103" s="0" t="n">
        <f aca="false">IF(OR($B103=0,F$3=0),0,IF(MOD(0-$D103,7)&lt;Inputs!$B$6,0,1))</f>
        <v>0</v>
      </c>
      <c r="G103" s="0" t="n">
        <f aca="false">IF(OR($B103=0,G$3=0),0,IF(MOD(1-$D103,7)&lt;Inputs!$B$6,0,1))</f>
        <v>0</v>
      </c>
      <c r="H103" s="0" t="n">
        <f aca="false">IF(OR($B103=0,H$3=0),0,IF(MOD(2-$D103,7)&lt;Inputs!$B$6,0,1))</f>
        <v>0</v>
      </c>
      <c r="I103" s="0" t="n">
        <f aca="false">IF(OR($B103=0,I$3=0),0,IF(MOD(3-$D103,7)&lt;Inputs!$B$6,0,1))</f>
        <v>0</v>
      </c>
      <c r="J103" s="0" t="n">
        <f aca="false">IF(OR($B103=0,J$3=0),0,IF(MOD(4-$D103,7)&lt;Inputs!$B$6,0,1))</f>
        <v>0</v>
      </c>
      <c r="K103" s="0" t="n">
        <f aca="false">IF(OR($B103=0,K$3=0),0,IF(MOD(5-$D103,7)&lt;Inputs!$B$6,0,1))</f>
        <v>0</v>
      </c>
      <c r="L103" s="0" t="n">
        <f aca="false">IF(OR($B103=0,L$3=0),0,IF(MOD(6-$D103,7)&lt;Inputs!$B$6,0,1))</f>
        <v>0</v>
      </c>
      <c r="M103" s="0" t="n">
        <f aca="false">SUM(F$6:F103)</f>
        <v>7</v>
      </c>
      <c r="N103" s="0" t="n">
        <f aca="false">SUM(G$6:G103)</f>
        <v>7</v>
      </c>
      <c r="O103" s="0" t="n">
        <f aca="false">SUM(H$6:H103)</f>
        <v>8</v>
      </c>
      <c r="P103" s="0" t="n">
        <f aca="false">SUM(I$6:I103)</f>
        <v>7</v>
      </c>
      <c r="Q103" s="0" t="n">
        <f aca="false">SUM(J$6:J103)</f>
        <v>8</v>
      </c>
      <c r="R103" s="0" t="n">
        <f aca="false">SUM(K$6:K103)</f>
        <v>7</v>
      </c>
      <c r="S103" s="0" t="n">
        <f aca="false">SUM(L$6:L103)</f>
        <v>6</v>
      </c>
      <c r="T103" s="18" t="n">
        <f aca="false">IF(F103=0,0,IF(Inputs!$D120="Open",F$1,IF(Inputs!$D120="Close",ROUND(F$2*1440-F$3*60,0)/1440,IF(OR(INT((M103-1)/Inputs!$B$7)=0,(INT((M$3-1-MOD(M103-1,Inputs!$B$7))/Inputs!$B$7)+1)&lt;=1),F$1,IF(INT((M103-1)/Inputs!$B$7)&gt;=(INT((M$3-1-MOD(M103-1,Inputs!$B$7))/Inputs!$B$7)+1)-1,ROUND(F$2*1440-F$3*60,0)/1440,MAX(F$1,MIN(ROUND(F$2*1440-F$3*60,0)/1440,ROUND((F$1+INT((M103-1)/Inputs!$B$7)/((INT((M$3-1-MOD(M103-1,Inputs!$B$7))/Inputs!$B$7)+1)-1)*((ROUND(F$2*1440-F$3*60,0)/1440)-F$1))*96,0)/96)))))))</f>
        <v>0</v>
      </c>
      <c r="U103" s="18" t="n">
        <f aca="false">IF(G103=0,0,IF(Inputs!$D120="Open",G$1,IF(Inputs!$D120="Close",ROUND(G$2*1440-G$3*60,0)/1440,IF(OR(INT((N103-1)/Inputs!$B$7)=0,(INT((N$3-1-MOD(N103-1,Inputs!$B$7))/Inputs!$B$7)+1)&lt;=1),G$1,IF(INT((N103-1)/Inputs!$B$7)&gt;=(INT((N$3-1-MOD(N103-1,Inputs!$B$7))/Inputs!$B$7)+1)-1,ROUND(G$2*1440-G$3*60,0)/1440,MAX(G$1,MIN(ROUND(G$2*1440-G$3*60,0)/1440,ROUND((G$1+INT((N103-1)/Inputs!$B$7)/((INT((N$3-1-MOD(N103-1,Inputs!$B$7))/Inputs!$B$7)+1)-1)*((ROUND(G$2*1440-G$3*60,0)/1440)-G$1))*96,0)/96)))))))</f>
        <v>0</v>
      </c>
      <c r="V103" s="18" t="n">
        <f aca="false">IF(H103=0,0,IF(Inputs!$D120="Open",H$1,IF(Inputs!$D120="Close",ROUND(H$2*1440-H$3*60,0)/1440,IF(OR(INT((O103-1)/Inputs!$B$7)=0,(INT((O$3-1-MOD(O103-1,Inputs!$B$7))/Inputs!$B$7)+1)&lt;=1),H$1,IF(INT((O103-1)/Inputs!$B$7)&gt;=(INT((O$3-1-MOD(O103-1,Inputs!$B$7))/Inputs!$B$7)+1)-1,ROUND(H$2*1440-H$3*60,0)/1440,MAX(H$1,MIN(ROUND(H$2*1440-H$3*60,0)/1440,ROUND((H$1+INT((O103-1)/Inputs!$B$7)/((INT((O$3-1-MOD(O103-1,Inputs!$B$7))/Inputs!$B$7)+1)-1)*((ROUND(H$2*1440-H$3*60,0)/1440)-H$1))*96,0)/96)))))))</f>
        <v>0</v>
      </c>
      <c r="W103" s="18" t="n">
        <f aca="false">IF(I103=0,0,IF(Inputs!$D120="Open",I$1,IF(Inputs!$D120="Close",ROUND(I$2*1440-I$3*60,0)/1440,IF(OR(INT((P103-1)/Inputs!$B$7)=0,(INT((P$3-1-MOD(P103-1,Inputs!$B$7))/Inputs!$B$7)+1)&lt;=1),I$1,IF(INT((P103-1)/Inputs!$B$7)&gt;=(INT((P$3-1-MOD(P103-1,Inputs!$B$7))/Inputs!$B$7)+1)-1,ROUND(I$2*1440-I$3*60,0)/1440,MAX(I$1,MIN(ROUND(I$2*1440-I$3*60,0)/1440,ROUND((I$1+INT((P103-1)/Inputs!$B$7)/((INT((P$3-1-MOD(P103-1,Inputs!$B$7))/Inputs!$B$7)+1)-1)*((ROUND(I$2*1440-I$3*60,0)/1440)-I$1))*96,0)/96)))))))</f>
        <v>0</v>
      </c>
      <c r="X103" s="18" t="n">
        <f aca="false">IF(J103=0,0,IF(Inputs!$D120="Open",J$1,IF(Inputs!$D120="Close",ROUND(J$2*1440-J$3*60,0)/1440,IF(OR(INT((Q103-1)/Inputs!$B$7)=0,(INT((Q$3-1-MOD(Q103-1,Inputs!$B$7))/Inputs!$B$7)+1)&lt;=1),J$1,IF(INT((Q103-1)/Inputs!$B$7)&gt;=(INT((Q$3-1-MOD(Q103-1,Inputs!$B$7))/Inputs!$B$7)+1)-1,ROUND(J$2*1440-J$3*60,0)/1440,MAX(J$1,MIN(ROUND(J$2*1440-J$3*60,0)/1440,ROUND((J$1+INT((Q103-1)/Inputs!$B$7)/((INT((Q$3-1-MOD(Q103-1,Inputs!$B$7))/Inputs!$B$7)+1)-1)*((ROUND(J$2*1440-J$3*60,0)/1440)-J$1))*96,0)/96)))))))</f>
        <v>0</v>
      </c>
      <c r="Y103" s="18" t="n">
        <f aca="false">IF(K103=0,0,IF(Inputs!$D120="Open",K$1,IF(Inputs!$D120="Close",ROUND(K$2*1440-K$3*60,0)/1440,IF(OR(INT((R103-1)/Inputs!$B$7)=0,(INT((R$3-1-MOD(R103-1,Inputs!$B$7))/Inputs!$B$7)+1)&lt;=1),K$1,IF(INT((R103-1)/Inputs!$B$7)&gt;=(INT((R$3-1-MOD(R103-1,Inputs!$B$7))/Inputs!$B$7)+1)-1,ROUND(K$2*1440-K$3*60,0)/1440,MAX(K$1,MIN(ROUND(K$2*1440-K$3*60,0)/1440,ROUND((K$1+INT((R103-1)/Inputs!$B$7)/((INT((R$3-1-MOD(R103-1,Inputs!$B$7))/Inputs!$B$7)+1)-1)*((ROUND(K$2*1440-K$3*60,0)/1440)-K$1))*96,0)/96)))))))</f>
        <v>0</v>
      </c>
      <c r="Z103" s="18" t="n">
        <f aca="false">IF(L103=0,0,IF(Inputs!$D120="Open",L$1,IF(Inputs!$D120="Close",ROUND(L$2*1440-L$3*60,0)/1440,IF(OR(INT((S103-1)/Inputs!$B$7)=0,(INT((S$3-1-MOD(S103-1,Inputs!$B$7))/Inputs!$B$7)+1)&lt;=1),L$1,IF(INT((S103-1)/Inputs!$B$7)&gt;=(INT((S$3-1-MOD(S103-1,Inputs!$B$7))/Inputs!$B$7)+1)-1,ROUND(L$2*1440-L$3*60,0)/1440,MAX(L$1,MIN(ROUND(L$2*1440-L$3*60,0)/1440,ROUND((L$1+INT((S103-1)/Inputs!$B$7)/((INT((S$3-1-MOD(S103-1,Inputs!$B$7))/Inputs!$B$7)+1)-1)*((ROUND(L$2*1440-L$3*60,0)/1440)-L$1))*96,0)/96)))))))</f>
        <v>0</v>
      </c>
      <c r="AA103" s="18" t="n">
        <f aca="false">IF(F103=0,0,ROUND(T103*1440+F$3*60,0)/1440)</f>
        <v>0</v>
      </c>
      <c r="AB103" s="18" t="n">
        <f aca="false">IF(G103=0,0,ROUND(U103*1440+G$3*60,0)/1440)</f>
        <v>0</v>
      </c>
      <c r="AC103" s="18" t="n">
        <f aca="false">IF(H103=0,0,ROUND(V103*1440+H$3*60,0)/1440)</f>
        <v>0</v>
      </c>
      <c r="AD103" s="18" t="n">
        <f aca="false">IF(I103=0,0,ROUND(W103*1440+I$3*60,0)/1440)</f>
        <v>0</v>
      </c>
      <c r="AE103" s="18" t="n">
        <f aca="false">IF(J103=0,0,ROUND(X103*1440+J$3*60,0)/1440)</f>
        <v>0</v>
      </c>
      <c r="AF103" s="18" t="n">
        <f aca="false">IF(K103=0,0,ROUND(Y103*1440+K$3*60,0)/1440)</f>
        <v>0</v>
      </c>
      <c r="AG103" s="18" t="n">
        <f aca="false">IF(L103=0,0,ROUND(Z103*1440+L$3*60,0)/1440)</f>
        <v>0</v>
      </c>
      <c r="AH103" s="19" t="n">
        <f aca="false">SUMPRODUCT((MOD(AO$1:AU$1-0,7)&lt;Inputs!$B$6)*AO$2:AU$2*(AO102:AU102+1))*100+MOD(0-5,7)</f>
        <v>1602</v>
      </c>
      <c r="AI103" s="19" t="n">
        <f aca="false">SUMPRODUCT((MOD(AO$1:AU$1-1,7)&lt;Inputs!$B$6)*AO$2:AU$2*(AO102:AU102+1))*100+MOD(1-5,7)</f>
        <v>1403</v>
      </c>
      <c r="AJ103" s="19" t="n">
        <f aca="false">SUMPRODUCT((MOD(AO$1:AU$1-2,7)&lt;Inputs!$B$6)*AO$2:AU$2*(AO102:AU102+1))*100+MOD(2-5,7)</f>
        <v>1404</v>
      </c>
      <c r="AK103" s="19" t="n">
        <f aca="false">SUMPRODUCT((MOD(AO$1:AU$1-3,7)&lt;Inputs!$B$6)*AO$2:AU$2*(AO102:AU102+1))*100+MOD(3-5,7)</f>
        <v>1405</v>
      </c>
      <c r="AL103" s="19" t="n">
        <f aca="false">SUMPRODUCT((MOD(AO$1:AU$1-4,7)&lt;Inputs!$B$6)*AO$2:AU$2*(AO102:AU102+1))*100+MOD(4-5,7)</f>
        <v>1406</v>
      </c>
      <c r="AM103" s="19" t="n">
        <f aca="false">SUMPRODUCT((MOD(AO$1:AU$1-5,7)&lt;Inputs!$B$6)*AO$2:AU$2*(AO102:AU102+1))*100+MOD(5-5,7)</f>
        <v>1800</v>
      </c>
      <c r="AN103" s="19" t="n">
        <f aca="false">SUMPRODUCT((MOD(AO$1:AU$1-6,7)&lt;Inputs!$B$6)*AO$2:AU$2*(AO102:AU102+1))*100+MOD(6-5,7)</f>
        <v>1801</v>
      </c>
      <c r="AO103" s="19" t="n">
        <f aca="false">AO102+IF($B103=1,IF(MOD(0-$D103,7)&lt;Inputs!$B$6,1,0),0)</f>
        <v>3</v>
      </c>
      <c r="AP103" s="19" t="n">
        <f aca="false">AP102+IF($B103=1,IF(MOD(1-$D103,7)&lt;Inputs!$B$6,1,0),0)</f>
        <v>3</v>
      </c>
      <c r="AQ103" s="19" t="n">
        <f aca="false">AQ102+IF($B103=1,IF(MOD(2-$D103,7)&lt;Inputs!$B$6,1,0),0)</f>
        <v>2</v>
      </c>
      <c r="AR103" s="19" t="n">
        <f aca="false">AR102+IF($B103=1,IF(MOD(3-$D103,7)&lt;Inputs!$B$6,1,0),0)</f>
        <v>3</v>
      </c>
      <c r="AS103" s="19" t="n">
        <f aca="false">AS102+IF($B103=1,IF(MOD(4-$D103,7)&lt;Inputs!$B$6,1,0),0)</f>
        <v>2</v>
      </c>
      <c r="AT103" s="19" t="n">
        <f aca="false">AT102+IF($B103=1,IF(MOD(5-$D103,7)&lt;Inputs!$B$6,1,0),0)</f>
        <v>3</v>
      </c>
      <c r="AU103" s="19" t="n">
        <f aca="false">AU102+IF($B103=1,IF(MOD(6-$D103,7)&lt;Inputs!$B$6,1,0),0)</f>
        <v>4</v>
      </c>
    </row>
    <row r="104" customFormat="false" ht="15" hidden="false" customHeight="false" outlineLevel="0" collapsed="false">
      <c r="A104" s="0" t="n">
        <v>99</v>
      </c>
      <c r="B104" s="0" t="n">
        <f aca="false">IF(A104&lt;=Inputs!$B$3,1,0)</f>
        <v>0</v>
      </c>
      <c r="C104" s="0" t="n">
        <f aca="false">MOD(5+MOD(A104-1,7),7)</f>
        <v>5</v>
      </c>
      <c r="D104" s="0" t="n">
        <f aca="false">IF(Inputs!C121&lt;&gt;"",MATCH(Inputs!C121,Inputs!$A$11:$A$17,0)-1,IF(B104=0,0,MATCH(MIN(AH104:AN104),AH104:AN104,0)-1))</f>
        <v>0</v>
      </c>
      <c r="F104" s="0" t="n">
        <f aca="false">IF(OR($B104=0,F$3=0),0,IF(MOD(0-$D104,7)&lt;Inputs!$B$6,0,1))</f>
        <v>0</v>
      </c>
      <c r="G104" s="0" t="n">
        <f aca="false">IF(OR($B104=0,G$3=0),0,IF(MOD(1-$D104,7)&lt;Inputs!$B$6,0,1))</f>
        <v>0</v>
      </c>
      <c r="H104" s="0" t="n">
        <f aca="false">IF(OR($B104=0,H$3=0),0,IF(MOD(2-$D104,7)&lt;Inputs!$B$6,0,1))</f>
        <v>0</v>
      </c>
      <c r="I104" s="0" t="n">
        <f aca="false">IF(OR($B104=0,I$3=0),0,IF(MOD(3-$D104,7)&lt;Inputs!$B$6,0,1))</f>
        <v>0</v>
      </c>
      <c r="J104" s="0" t="n">
        <f aca="false">IF(OR($B104=0,J$3=0),0,IF(MOD(4-$D104,7)&lt;Inputs!$B$6,0,1))</f>
        <v>0</v>
      </c>
      <c r="K104" s="0" t="n">
        <f aca="false">IF(OR($B104=0,K$3=0),0,IF(MOD(5-$D104,7)&lt;Inputs!$B$6,0,1))</f>
        <v>0</v>
      </c>
      <c r="L104" s="0" t="n">
        <f aca="false">IF(OR($B104=0,L$3=0),0,IF(MOD(6-$D104,7)&lt;Inputs!$B$6,0,1))</f>
        <v>0</v>
      </c>
      <c r="M104" s="0" t="n">
        <f aca="false">SUM(F$6:F104)</f>
        <v>7</v>
      </c>
      <c r="N104" s="0" t="n">
        <f aca="false">SUM(G$6:G104)</f>
        <v>7</v>
      </c>
      <c r="O104" s="0" t="n">
        <f aca="false">SUM(H$6:H104)</f>
        <v>8</v>
      </c>
      <c r="P104" s="0" t="n">
        <f aca="false">SUM(I$6:I104)</f>
        <v>7</v>
      </c>
      <c r="Q104" s="0" t="n">
        <f aca="false">SUM(J$6:J104)</f>
        <v>8</v>
      </c>
      <c r="R104" s="0" t="n">
        <f aca="false">SUM(K$6:K104)</f>
        <v>7</v>
      </c>
      <c r="S104" s="0" t="n">
        <f aca="false">SUM(L$6:L104)</f>
        <v>6</v>
      </c>
      <c r="T104" s="18" t="n">
        <f aca="false">IF(F104=0,0,IF(Inputs!$D121="Open",F$1,IF(Inputs!$D121="Close",ROUND(F$2*1440-F$3*60,0)/1440,IF(OR(INT((M104-1)/Inputs!$B$7)=0,(INT((M$3-1-MOD(M104-1,Inputs!$B$7))/Inputs!$B$7)+1)&lt;=1),F$1,IF(INT((M104-1)/Inputs!$B$7)&gt;=(INT((M$3-1-MOD(M104-1,Inputs!$B$7))/Inputs!$B$7)+1)-1,ROUND(F$2*1440-F$3*60,0)/1440,MAX(F$1,MIN(ROUND(F$2*1440-F$3*60,0)/1440,ROUND((F$1+INT((M104-1)/Inputs!$B$7)/((INT((M$3-1-MOD(M104-1,Inputs!$B$7))/Inputs!$B$7)+1)-1)*((ROUND(F$2*1440-F$3*60,0)/1440)-F$1))*96,0)/96)))))))</f>
        <v>0</v>
      </c>
      <c r="U104" s="18" t="n">
        <f aca="false">IF(G104=0,0,IF(Inputs!$D121="Open",G$1,IF(Inputs!$D121="Close",ROUND(G$2*1440-G$3*60,0)/1440,IF(OR(INT((N104-1)/Inputs!$B$7)=0,(INT((N$3-1-MOD(N104-1,Inputs!$B$7))/Inputs!$B$7)+1)&lt;=1),G$1,IF(INT((N104-1)/Inputs!$B$7)&gt;=(INT((N$3-1-MOD(N104-1,Inputs!$B$7))/Inputs!$B$7)+1)-1,ROUND(G$2*1440-G$3*60,0)/1440,MAX(G$1,MIN(ROUND(G$2*1440-G$3*60,0)/1440,ROUND((G$1+INT((N104-1)/Inputs!$B$7)/((INT((N$3-1-MOD(N104-1,Inputs!$B$7))/Inputs!$B$7)+1)-1)*((ROUND(G$2*1440-G$3*60,0)/1440)-G$1))*96,0)/96)))))))</f>
        <v>0</v>
      </c>
      <c r="V104" s="18" t="n">
        <f aca="false">IF(H104=0,0,IF(Inputs!$D121="Open",H$1,IF(Inputs!$D121="Close",ROUND(H$2*1440-H$3*60,0)/1440,IF(OR(INT((O104-1)/Inputs!$B$7)=0,(INT((O$3-1-MOD(O104-1,Inputs!$B$7))/Inputs!$B$7)+1)&lt;=1),H$1,IF(INT((O104-1)/Inputs!$B$7)&gt;=(INT((O$3-1-MOD(O104-1,Inputs!$B$7))/Inputs!$B$7)+1)-1,ROUND(H$2*1440-H$3*60,0)/1440,MAX(H$1,MIN(ROUND(H$2*1440-H$3*60,0)/1440,ROUND((H$1+INT((O104-1)/Inputs!$B$7)/((INT((O$3-1-MOD(O104-1,Inputs!$B$7))/Inputs!$B$7)+1)-1)*((ROUND(H$2*1440-H$3*60,0)/1440)-H$1))*96,0)/96)))))))</f>
        <v>0</v>
      </c>
      <c r="W104" s="18" t="n">
        <f aca="false">IF(I104=0,0,IF(Inputs!$D121="Open",I$1,IF(Inputs!$D121="Close",ROUND(I$2*1440-I$3*60,0)/1440,IF(OR(INT((P104-1)/Inputs!$B$7)=0,(INT((P$3-1-MOD(P104-1,Inputs!$B$7))/Inputs!$B$7)+1)&lt;=1),I$1,IF(INT((P104-1)/Inputs!$B$7)&gt;=(INT((P$3-1-MOD(P104-1,Inputs!$B$7))/Inputs!$B$7)+1)-1,ROUND(I$2*1440-I$3*60,0)/1440,MAX(I$1,MIN(ROUND(I$2*1440-I$3*60,0)/1440,ROUND((I$1+INT((P104-1)/Inputs!$B$7)/((INT((P$3-1-MOD(P104-1,Inputs!$B$7))/Inputs!$B$7)+1)-1)*((ROUND(I$2*1440-I$3*60,0)/1440)-I$1))*96,0)/96)))))))</f>
        <v>0</v>
      </c>
      <c r="X104" s="18" t="n">
        <f aca="false">IF(J104=0,0,IF(Inputs!$D121="Open",J$1,IF(Inputs!$D121="Close",ROUND(J$2*1440-J$3*60,0)/1440,IF(OR(INT((Q104-1)/Inputs!$B$7)=0,(INT((Q$3-1-MOD(Q104-1,Inputs!$B$7))/Inputs!$B$7)+1)&lt;=1),J$1,IF(INT((Q104-1)/Inputs!$B$7)&gt;=(INT((Q$3-1-MOD(Q104-1,Inputs!$B$7))/Inputs!$B$7)+1)-1,ROUND(J$2*1440-J$3*60,0)/1440,MAX(J$1,MIN(ROUND(J$2*1440-J$3*60,0)/1440,ROUND((J$1+INT((Q104-1)/Inputs!$B$7)/((INT((Q$3-1-MOD(Q104-1,Inputs!$B$7))/Inputs!$B$7)+1)-1)*((ROUND(J$2*1440-J$3*60,0)/1440)-J$1))*96,0)/96)))))))</f>
        <v>0</v>
      </c>
      <c r="Y104" s="18" t="n">
        <f aca="false">IF(K104=0,0,IF(Inputs!$D121="Open",K$1,IF(Inputs!$D121="Close",ROUND(K$2*1440-K$3*60,0)/1440,IF(OR(INT((R104-1)/Inputs!$B$7)=0,(INT((R$3-1-MOD(R104-1,Inputs!$B$7))/Inputs!$B$7)+1)&lt;=1),K$1,IF(INT((R104-1)/Inputs!$B$7)&gt;=(INT((R$3-1-MOD(R104-1,Inputs!$B$7))/Inputs!$B$7)+1)-1,ROUND(K$2*1440-K$3*60,0)/1440,MAX(K$1,MIN(ROUND(K$2*1440-K$3*60,0)/1440,ROUND((K$1+INT((R104-1)/Inputs!$B$7)/((INT((R$3-1-MOD(R104-1,Inputs!$B$7))/Inputs!$B$7)+1)-1)*((ROUND(K$2*1440-K$3*60,0)/1440)-K$1))*96,0)/96)))))))</f>
        <v>0</v>
      </c>
      <c r="Z104" s="18" t="n">
        <f aca="false">IF(L104=0,0,IF(Inputs!$D121="Open",L$1,IF(Inputs!$D121="Close",ROUND(L$2*1440-L$3*60,0)/1440,IF(OR(INT((S104-1)/Inputs!$B$7)=0,(INT((S$3-1-MOD(S104-1,Inputs!$B$7))/Inputs!$B$7)+1)&lt;=1),L$1,IF(INT((S104-1)/Inputs!$B$7)&gt;=(INT((S$3-1-MOD(S104-1,Inputs!$B$7))/Inputs!$B$7)+1)-1,ROUND(L$2*1440-L$3*60,0)/1440,MAX(L$1,MIN(ROUND(L$2*1440-L$3*60,0)/1440,ROUND((L$1+INT((S104-1)/Inputs!$B$7)/((INT((S$3-1-MOD(S104-1,Inputs!$B$7))/Inputs!$B$7)+1)-1)*((ROUND(L$2*1440-L$3*60,0)/1440)-L$1))*96,0)/96)))))))</f>
        <v>0</v>
      </c>
      <c r="AA104" s="18" t="n">
        <f aca="false">IF(F104=0,0,ROUND(T104*1440+F$3*60,0)/1440)</f>
        <v>0</v>
      </c>
      <c r="AB104" s="18" t="n">
        <f aca="false">IF(G104=0,0,ROUND(U104*1440+G$3*60,0)/1440)</f>
        <v>0</v>
      </c>
      <c r="AC104" s="18" t="n">
        <f aca="false">IF(H104=0,0,ROUND(V104*1440+H$3*60,0)/1440)</f>
        <v>0</v>
      </c>
      <c r="AD104" s="18" t="n">
        <f aca="false">IF(I104=0,0,ROUND(W104*1440+I$3*60,0)/1440)</f>
        <v>0</v>
      </c>
      <c r="AE104" s="18" t="n">
        <f aca="false">IF(J104=0,0,ROUND(X104*1440+J$3*60,0)/1440)</f>
        <v>0</v>
      </c>
      <c r="AF104" s="18" t="n">
        <f aca="false">IF(K104=0,0,ROUND(Y104*1440+K$3*60,0)/1440)</f>
        <v>0</v>
      </c>
      <c r="AG104" s="18" t="n">
        <f aca="false">IF(L104=0,0,ROUND(Z104*1440+L$3*60,0)/1440)</f>
        <v>0</v>
      </c>
      <c r="AH104" s="19" t="n">
        <f aca="false">SUMPRODUCT((MOD(AO$1:AU$1-0,7)&lt;Inputs!$B$6)*AO$2:AU$2*(AO103:AU103+1))*100+MOD(0-5,7)</f>
        <v>1602</v>
      </c>
      <c r="AI104" s="19" t="n">
        <f aca="false">SUMPRODUCT((MOD(AO$1:AU$1-1,7)&lt;Inputs!$B$6)*AO$2:AU$2*(AO103:AU103+1))*100+MOD(1-5,7)</f>
        <v>1403</v>
      </c>
      <c r="AJ104" s="19" t="n">
        <f aca="false">SUMPRODUCT((MOD(AO$1:AU$1-2,7)&lt;Inputs!$B$6)*AO$2:AU$2*(AO103:AU103+1))*100+MOD(2-5,7)</f>
        <v>1404</v>
      </c>
      <c r="AK104" s="19" t="n">
        <f aca="false">SUMPRODUCT((MOD(AO$1:AU$1-3,7)&lt;Inputs!$B$6)*AO$2:AU$2*(AO103:AU103+1))*100+MOD(3-5,7)</f>
        <v>1405</v>
      </c>
      <c r="AL104" s="19" t="n">
        <f aca="false">SUMPRODUCT((MOD(AO$1:AU$1-4,7)&lt;Inputs!$B$6)*AO$2:AU$2*(AO103:AU103+1))*100+MOD(4-5,7)</f>
        <v>1406</v>
      </c>
      <c r="AM104" s="19" t="n">
        <f aca="false">SUMPRODUCT((MOD(AO$1:AU$1-5,7)&lt;Inputs!$B$6)*AO$2:AU$2*(AO103:AU103+1))*100+MOD(5-5,7)</f>
        <v>1800</v>
      </c>
      <c r="AN104" s="19" t="n">
        <f aca="false">SUMPRODUCT((MOD(AO$1:AU$1-6,7)&lt;Inputs!$B$6)*AO$2:AU$2*(AO103:AU103+1))*100+MOD(6-5,7)</f>
        <v>1801</v>
      </c>
      <c r="AO104" s="19" t="n">
        <f aca="false">AO103+IF($B104=1,IF(MOD(0-$D104,7)&lt;Inputs!$B$6,1,0),0)</f>
        <v>3</v>
      </c>
      <c r="AP104" s="19" t="n">
        <f aca="false">AP103+IF($B104=1,IF(MOD(1-$D104,7)&lt;Inputs!$B$6,1,0),0)</f>
        <v>3</v>
      </c>
      <c r="AQ104" s="19" t="n">
        <f aca="false">AQ103+IF($B104=1,IF(MOD(2-$D104,7)&lt;Inputs!$B$6,1,0),0)</f>
        <v>2</v>
      </c>
      <c r="AR104" s="19" t="n">
        <f aca="false">AR103+IF($B104=1,IF(MOD(3-$D104,7)&lt;Inputs!$B$6,1,0),0)</f>
        <v>3</v>
      </c>
      <c r="AS104" s="19" t="n">
        <f aca="false">AS103+IF($B104=1,IF(MOD(4-$D104,7)&lt;Inputs!$B$6,1,0),0)</f>
        <v>2</v>
      </c>
      <c r="AT104" s="19" t="n">
        <f aca="false">AT103+IF($B104=1,IF(MOD(5-$D104,7)&lt;Inputs!$B$6,1,0),0)</f>
        <v>3</v>
      </c>
      <c r="AU104" s="19" t="n">
        <f aca="false">AU103+IF($B104=1,IF(MOD(6-$D104,7)&lt;Inputs!$B$6,1,0),0)</f>
        <v>4</v>
      </c>
    </row>
    <row r="105" customFormat="false" ht="15" hidden="false" customHeight="false" outlineLevel="0" collapsed="false">
      <c r="A105" s="0" t="n">
        <v>100</v>
      </c>
      <c r="B105" s="0" t="n">
        <f aca="false">IF(A105&lt;=Inputs!$B$3,1,0)</f>
        <v>0</v>
      </c>
      <c r="C105" s="0" t="n">
        <f aca="false">MOD(5+MOD(A105-1,7),7)</f>
        <v>6</v>
      </c>
      <c r="D105" s="0" t="n">
        <f aca="false">IF(Inputs!C122&lt;&gt;"",MATCH(Inputs!C122,Inputs!$A$11:$A$17,0)-1,IF(B105=0,0,MATCH(MIN(AH105:AN105),AH105:AN105,0)-1))</f>
        <v>0</v>
      </c>
      <c r="F105" s="0" t="n">
        <f aca="false">IF(OR($B105=0,F$3=0),0,IF(MOD(0-$D105,7)&lt;Inputs!$B$6,0,1))</f>
        <v>0</v>
      </c>
      <c r="G105" s="0" t="n">
        <f aca="false">IF(OR($B105=0,G$3=0),0,IF(MOD(1-$D105,7)&lt;Inputs!$B$6,0,1))</f>
        <v>0</v>
      </c>
      <c r="H105" s="0" t="n">
        <f aca="false">IF(OR($B105=0,H$3=0),0,IF(MOD(2-$D105,7)&lt;Inputs!$B$6,0,1))</f>
        <v>0</v>
      </c>
      <c r="I105" s="0" t="n">
        <f aca="false">IF(OR($B105=0,I$3=0),0,IF(MOD(3-$D105,7)&lt;Inputs!$B$6,0,1))</f>
        <v>0</v>
      </c>
      <c r="J105" s="0" t="n">
        <f aca="false">IF(OR($B105=0,J$3=0),0,IF(MOD(4-$D105,7)&lt;Inputs!$B$6,0,1))</f>
        <v>0</v>
      </c>
      <c r="K105" s="0" t="n">
        <f aca="false">IF(OR($B105=0,K$3=0),0,IF(MOD(5-$D105,7)&lt;Inputs!$B$6,0,1))</f>
        <v>0</v>
      </c>
      <c r="L105" s="0" t="n">
        <f aca="false">IF(OR($B105=0,L$3=0),0,IF(MOD(6-$D105,7)&lt;Inputs!$B$6,0,1))</f>
        <v>0</v>
      </c>
      <c r="M105" s="0" t="n">
        <f aca="false">SUM(F$6:F105)</f>
        <v>7</v>
      </c>
      <c r="N105" s="0" t="n">
        <f aca="false">SUM(G$6:G105)</f>
        <v>7</v>
      </c>
      <c r="O105" s="0" t="n">
        <f aca="false">SUM(H$6:H105)</f>
        <v>8</v>
      </c>
      <c r="P105" s="0" t="n">
        <f aca="false">SUM(I$6:I105)</f>
        <v>7</v>
      </c>
      <c r="Q105" s="0" t="n">
        <f aca="false">SUM(J$6:J105)</f>
        <v>8</v>
      </c>
      <c r="R105" s="0" t="n">
        <f aca="false">SUM(K$6:K105)</f>
        <v>7</v>
      </c>
      <c r="S105" s="0" t="n">
        <f aca="false">SUM(L$6:L105)</f>
        <v>6</v>
      </c>
      <c r="T105" s="18" t="n">
        <f aca="false">IF(F105=0,0,IF(Inputs!$D122="Open",F$1,IF(Inputs!$D122="Close",ROUND(F$2*1440-F$3*60,0)/1440,IF(OR(INT((M105-1)/Inputs!$B$7)=0,(INT((M$3-1-MOD(M105-1,Inputs!$B$7))/Inputs!$B$7)+1)&lt;=1),F$1,IF(INT((M105-1)/Inputs!$B$7)&gt;=(INT((M$3-1-MOD(M105-1,Inputs!$B$7))/Inputs!$B$7)+1)-1,ROUND(F$2*1440-F$3*60,0)/1440,MAX(F$1,MIN(ROUND(F$2*1440-F$3*60,0)/1440,ROUND((F$1+INT((M105-1)/Inputs!$B$7)/((INT((M$3-1-MOD(M105-1,Inputs!$B$7))/Inputs!$B$7)+1)-1)*((ROUND(F$2*1440-F$3*60,0)/1440)-F$1))*96,0)/96)))))))</f>
        <v>0</v>
      </c>
      <c r="U105" s="18" t="n">
        <f aca="false">IF(G105=0,0,IF(Inputs!$D122="Open",G$1,IF(Inputs!$D122="Close",ROUND(G$2*1440-G$3*60,0)/1440,IF(OR(INT((N105-1)/Inputs!$B$7)=0,(INT((N$3-1-MOD(N105-1,Inputs!$B$7))/Inputs!$B$7)+1)&lt;=1),G$1,IF(INT((N105-1)/Inputs!$B$7)&gt;=(INT((N$3-1-MOD(N105-1,Inputs!$B$7))/Inputs!$B$7)+1)-1,ROUND(G$2*1440-G$3*60,0)/1440,MAX(G$1,MIN(ROUND(G$2*1440-G$3*60,0)/1440,ROUND((G$1+INT((N105-1)/Inputs!$B$7)/((INT((N$3-1-MOD(N105-1,Inputs!$B$7))/Inputs!$B$7)+1)-1)*((ROUND(G$2*1440-G$3*60,0)/1440)-G$1))*96,0)/96)))))))</f>
        <v>0</v>
      </c>
      <c r="V105" s="18" t="n">
        <f aca="false">IF(H105=0,0,IF(Inputs!$D122="Open",H$1,IF(Inputs!$D122="Close",ROUND(H$2*1440-H$3*60,0)/1440,IF(OR(INT((O105-1)/Inputs!$B$7)=0,(INT((O$3-1-MOD(O105-1,Inputs!$B$7))/Inputs!$B$7)+1)&lt;=1),H$1,IF(INT((O105-1)/Inputs!$B$7)&gt;=(INT((O$3-1-MOD(O105-1,Inputs!$B$7))/Inputs!$B$7)+1)-1,ROUND(H$2*1440-H$3*60,0)/1440,MAX(H$1,MIN(ROUND(H$2*1440-H$3*60,0)/1440,ROUND((H$1+INT((O105-1)/Inputs!$B$7)/((INT((O$3-1-MOD(O105-1,Inputs!$B$7))/Inputs!$B$7)+1)-1)*((ROUND(H$2*1440-H$3*60,0)/1440)-H$1))*96,0)/96)))))))</f>
        <v>0</v>
      </c>
      <c r="W105" s="18" t="n">
        <f aca="false">IF(I105=0,0,IF(Inputs!$D122="Open",I$1,IF(Inputs!$D122="Close",ROUND(I$2*1440-I$3*60,0)/1440,IF(OR(INT((P105-1)/Inputs!$B$7)=0,(INT((P$3-1-MOD(P105-1,Inputs!$B$7))/Inputs!$B$7)+1)&lt;=1),I$1,IF(INT((P105-1)/Inputs!$B$7)&gt;=(INT((P$3-1-MOD(P105-1,Inputs!$B$7))/Inputs!$B$7)+1)-1,ROUND(I$2*1440-I$3*60,0)/1440,MAX(I$1,MIN(ROUND(I$2*1440-I$3*60,0)/1440,ROUND((I$1+INT((P105-1)/Inputs!$B$7)/((INT((P$3-1-MOD(P105-1,Inputs!$B$7))/Inputs!$B$7)+1)-1)*((ROUND(I$2*1440-I$3*60,0)/1440)-I$1))*96,0)/96)))))))</f>
        <v>0</v>
      </c>
      <c r="X105" s="18" t="n">
        <f aca="false">IF(J105=0,0,IF(Inputs!$D122="Open",J$1,IF(Inputs!$D122="Close",ROUND(J$2*1440-J$3*60,0)/1440,IF(OR(INT((Q105-1)/Inputs!$B$7)=0,(INT((Q$3-1-MOD(Q105-1,Inputs!$B$7))/Inputs!$B$7)+1)&lt;=1),J$1,IF(INT((Q105-1)/Inputs!$B$7)&gt;=(INT((Q$3-1-MOD(Q105-1,Inputs!$B$7))/Inputs!$B$7)+1)-1,ROUND(J$2*1440-J$3*60,0)/1440,MAX(J$1,MIN(ROUND(J$2*1440-J$3*60,0)/1440,ROUND((J$1+INT((Q105-1)/Inputs!$B$7)/((INT((Q$3-1-MOD(Q105-1,Inputs!$B$7))/Inputs!$B$7)+1)-1)*((ROUND(J$2*1440-J$3*60,0)/1440)-J$1))*96,0)/96)))))))</f>
        <v>0</v>
      </c>
      <c r="Y105" s="18" t="n">
        <f aca="false">IF(K105=0,0,IF(Inputs!$D122="Open",K$1,IF(Inputs!$D122="Close",ROUND(K$2*1440-K$3*60,0)/1440,IF(OR(INT((R105-1)/Inputs!$B$7)=0,(INT((R$3-1-MOD(R105-1,Inputs!$B$7))/Inputs!$B$7)+1)&lt;=1),K$1,IF(INT((R105-1)/Inputs!$B$7)&gt;=(INT((R$3-1-MOD(R105-1,Inputs!$B$7))/Inputs!$B$7)+1)-1,ROUND(K$2*1440-K$3*60,0)/1440,MAX(K$1,MIN(ROUND(K$2*1440-K$3*60,0)/1440,ROUND((K$1+INT((R105-1)/Inputs!$B$7)/((INT((R$3-1-MOD(R105-1,Inputs!$B$7))/Inputs!$B$7)+1)-1)*((ROUND(K$2*1440-K$3*60,0)/1440)-K$1))*96,0)/96)))))))</f>
        <v>0</v>
      </c>
      <c r="Z105" s="18" t="n">
        <f aca="false">IF(L105=0,0,IF(Inputs!$D122="Open",L$1,IF(Inputs!$D122="Close",ROUND(L$2*1440-L$3*60,0)/1440,IF(OR(INT((S105-1)/Inputs!$B$7)=0,(INT((S$3-1-MOD(S105-1,Inputs!$B$7))/Inputs!$B$7)+1)&lt;=1),L$1,IF(INT((S105-1)/Inputs!$B$7)&gt;=(INT((S$3-1-MOD(S105-1,Inputs!$B$7))/Inputs!$B$7)+1)-1,ROUND(L$2*1440-L$3*60,0)/1440,MAX(L$1,MIN(ROUND(L$2*1440-L$3*60,0)/1440,ROUND((L$1+INT((S105-1)/Inputs!$B$7)/((INT((S$3-1-MOD(S105-1,Inputs!$B$7))/Inputs!$B$7)+1)-1)*((ROUND(L$2*1440-L$3*60,0)/1440)-L$1))*96,0)/96)))))))</f>
        <v>0</v>
      </c>
      <c r="AA105" s="18" t="n">
        <f aca="false">IF(F105=0,0,ROUND(T105*1440+F$3*60,0)/1440)</f>
        <v>0</v>
      </c>
      <c r="AB105" s="18" t="n">
        <f aca="false">IF(G105=0,0,ROUND(U105*1440+G$3*60,0)/1440)</f>
        <v>0</v>
      </c>
      <c r="AC105" s="18" t="n">
        <f aca="false">IF(H105=0,0,ROUND(V105*1440+H$3*60,0)/1440)</f>
        <v>0</v>
      </c>
      <c r="AD105" s="18" t="n">
        <f aca="false">IF(I105=0,0,ROUND(W105*1440+I$3*60,0)/1440)</f>
        <v>0</v>
      </c>
      <c r="AE105" s="18" t="n">
        <f aca="false">IF(J105=0,0,ROUND(X105*1440+J$3*60,0)/1440)</f>
        <v>0</v>
      </c>
      <c r="AF105" s="18" t="n">
        <f aca="false">IF(K105=0,0,ROUND(Y105*1440+K$3*60,0)/1440)</f>
        <v>0</v>
      </c>
      <c r="AG105" s="18" t="n">
        <f aca="false">IF(L105=0,0,ROUND(Z105*1440+L$3*60,0)/1440)</f>
        <v>0</v>
      </c>
      <c r="AH105" s="19" t="n">
        <f aca="false">SUMPRODUCT((MOD(AO$1:AU$1-0,7)&lt;Inputs!$B$6)*AO$2:AU$2*(AO104:AU104+1))*100+MOD(0-5,7)</f>
        <v>1602</v>
      </c>
      <c r="AI105" s="19" t="n">
        <f aca="false">SUMPRODUCT((MOD(AO$1:AU$1-1,7)&lt;Inputs!$B$6)*AO$2:AU$2*(AO104:AU104+1))*100+MOD(1-5,7)</f>
        <v>1403</v>
      </c>
      <c r="AJ105" s="19" t="n">
        <f aca="false">SUMPRODUCT((MOD(AO$1:AU$1-2,7)&lt;Inputs!$B$6)*AO$2:AU$2*(AO104:AU104+1))*100+MOD(2-5,7)</f>
        <v>1404</v>
      </c>
      <c r="AK105" s="19" t="n">
        <f aca="false">SUMPRODUCT((MOD(AO$1:AU$1-3,7)&lt;Inputs!$B$6)*AO$2:AU$2*(AO104:AU104+1))*100+MOD(3-5,7)</f>
        <v>1405</v>
      </c>
      <c r="AL105" s="19" t="n">
        <f aca="false">SUMPRODUCT((MOD(AO$1:AU$1-4,7)&lt;Inputs!$B$6)*AO$2:AU$2*(AO104:AU104+1))*100+MOD(4-5,7)</f>
        <v>1406</v>
      </c>
      <c r="AM105" s="19" t="n">
        <f aca="false">SUMPRODUCT((MOD(AO$1:AU$1-5,7)&lt;Inputs!$B$6)*AO$2:AU$2*(AO104:AU104+1))*100+MOD(5-5,7)</f>
        <v>1800</v>
      </c>
      <c r="AN105" s="19" t="n">
        <f aca="false">SUMPRODUCT((MOD(AO$1:AU$1-6,7)&lt;Inputs!$B$6)*AO$2:AU$2*(AO104:AU104+1))*100+MOD(6-5,7)</f>
        <v>1801</v>
      </c>
      <c r="AO105" s="19" t="n">
        <f aca="false">AO104+IF($B105=1,IF(MOD(0-$D105,7)&lt;Inputs!$B$6,1,0),0)</f>
        <v>3</v>
      </c>
      <c r="AP105" s="19" t="n">
        <f aca="false">AP104+IF($B105=1,IF(MOD(1-$D105,7)&lt;Inputs!$B$6,1,0),0)</f>
        <v>3</v>
      </c>
      <c r="AQ105" s="19" t="n">
        <f aca="false">AQ104+IF($B105=1,IF(MOD(2-$D105,7)&lt;Inputs!$B$6,1,0),0)</f>
        <v>2</v>
      </c>
      <c r="AR105" s="19" t="n">
        <f aca="false">AR104+IF($B105=1,IF(MOD(3-$D105,7)&lt;Inputs!$B$6,1,0),0)</f>
        <v>3</v>
      </c>
      <c r="AS105" s="19" t="n">
        <f aca="false">AS104+IF($B105=1,IF(MOD(4-$D105,7)&lt;Inputs!$B$6,1,0),0)</f>
        <v>2</v>
      </c>
      <c r="AT105" s="19" t="n">
        <f aca="false">AT104+IF($B105=1,IF(MOD(5-$D105,7)&lt;Inputs!$B$6,1,0),0)</f>
        <v>3</v>
      </c>
      <c r="AU105" s="19" t="n">
        <f aca="false">AU104+IF($B105=1,IF(MOD(6-$D105,7)&lt;Inputs!$B$6,1,0),0)</f>
        <v>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2026-10-21T14:11:56Z</dcterms:created>
  <dc:creator>WFM Helper</dc:creator>
  <dc:description/>
  <dc:language>en-US</dc:language>
  <cp:lastModifiedBy>WFM Helper</cp:lastModifiedBy>
  <dcterms:modified xsi:type="dcterms:W3CDTF">2026-10-21T14:11:56Z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